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filterPrivacy="1" defaultThemeVersion="124226"/>
  <xr:revisionPtr revIDLastSave="0" documentId="13_ncr:1_{05D58D36-3CD9-4559-B738-4EAFDD1C04EE}" xr6:coauthVersionLast="45" xr6:coauthVersionMax="45" xr10:uidLastSave="{00000000-0000-0000-0000-000000000000}"/>
  <bookViews>
    <workbookView xWindow="-120" yWindow="-120" windowWidth="29040" windowHeight="16440" tabRatio="934" activeTab="1" xr2:uid="{00000000-000D-0000-FFFF-FFFF00000000}"/>
  </bookViews>
  <sheets>
    <sheet name="DATOS" sheetId="36" r:id="rId1"/>
    <sheet name="PORTADA PRESUPUESTO" sheetId="42" r:id="rId2"/>
    <sheet name="RESUMEN OBRA" sheetId="13" r:id="rId3"/>
    <sheet name="Derribos - Albañilería" sheetId="16" r:id="rId4"/>
    <sheet name="Revestimientos - Pavimentos" sheetId="19" r:id="rId5"/>
    <sheet name="Carp_A - Carp_M" sheetId="23" r:id="rId6"/>
    <sheet name="Mobiliario - Electrodomésticos" sheetId="24" r:id="rId7"/>
    <sheet name="Inst_E - Inst_L" sheetId="25" r:id="rId8"/>
    <sheet name="Inst_C - Inst_A" sheetId="47" r:id="rId9"/>
    <sheet name="Pintura" sheetId="29" r:id="rId10"/>
    <sheet name="CALENDARIO - OBRA" sheetId="34" r:id="rId11"/>
    <sheet name="FIRMA" sheetId="43" r:id="rId12"/>
    <sheet name="PORTADA PLANOS" sheetId="44" r:id="rId13"/>
    <sheet name="Memoria de Calidades" sheetId="40" r:id="rId14"/>
  </sheets>
  <definedNames>
    <definedName name="_xlnm.Print_Area" localSheetId="10">'CALENDARIO - OBRA'!$B$2:$G$14</definedName>
    <definedName name="_xlnm.Print_Area" localSheetId="5">'Carp_A - Carp_M'!$B$2:$F$38</definedName>
    <definedName name="_xlnm.Print_Area" localSheetId="0">DATOS!$B$2:$C$26</definedName>
    <definedName name="_xlnm.Print_Area" localSheetId="3">'Derribos - Albañilería'!$B$2:$F$38</definedName>
    <definedName name="_xlnm.Print_Area" localSheetId="11">FIRMA!$D$3:$G$38</definedName>
    <definedName name="_xlnm.Print_Area" localSheetId="8">'Inst_C - Inst_A'!$B$2:$F$38</definedName>
    <definedName name="_xlnm.Print_Area" localSheetId="7">'Inst_E - Inst_L'!$B$2:$F$48</definedName>
    <definedName name="_xlnm.Print_Area" localSheetId="13">'Memoria de Calidades'!$A$1:$G$17</definedName>
    <definedName name="_xlnm.Print_Area" localSheetId="6">'Mobiliario - Electrodomésticos'!$B$2:$F$38</definedName>
    <definedName name="_xlnm.Print_Area" localSheetId="9">Pintura!$B$2:$F$19</definedName>
    <definedName name="_xlnm.Print_Area" localSheetId="12">'PORTADA PLANOS'!$A$1:$G$49</definedName>
    <definedName name="_xlnm.Print_Area" localSheetId="1">'PORTADA PRESUPUESTO'!$A$1:$G$50</definedName>
    <definedName name="_xlnm.Print_Area" localSheetId="2">'RESUMEN OBRA'!$B$2:$F$45</definedName>
    <definedName name="_xlnm.Print_Area" localSheetId="4">'Revestimientos - Pavimentos'!$B$2:$F$38</definedName>
    <definedName name="B.I._05">DATOS!$C$32</definedName>
    <definedName name="B.I._10">DATOS!$C$31</definedName>
    <definedName name="B.I._15">DATOS!$C$30</definedName>
    <definedName name="B.I._20">DATOS!$C$29</definedName>
    <definedName name="B.I._AlbañilerÍa">'Derribos - Albañilería'!$R$38</definedName>
    <definedName name="B.I._Carpinterías_A">'Carp_A - Carp_M'!$R$19</definedName>
    <definedName name="B.I._Carpinterías_M">'Carp_A - Carp_M'!$R$38</definedName>
    <definedName name="B.I._Derribo">'Derribos - Albañilería'!$R$19</definedName>
    <definedName name="B.I._Electrodomésticos">'Mobiliario - Electrodomésticos'!$R$38</definedName>
    <definedName name="B.I._Instalaciones_A">'Inst_C - Inst_A'!$R$38</definedName>
    <definedName name="B.I._Instalaciones_C">'Inst_C - Inst_A'!$R$19</definedName>
    <definedName name="B.I._Instalaciones_E">'Inst_E - Inst_L'!$R$29</definedName>
    <definedName name="B.I._Instalaciones_L">'Inst_E - Inst_L'!$R$48</definedName>
    <definedName name="B.I._Mobiliario">'Mobiliario - Electrodomésticos'!$R$19</definedName>
    <definedName name="B.I._Pavimentos">'Revestimientos - Pavimentos'!$R$38</definedName>
    <definedName name="B.I._Pintura">Pintura!$R$19</definedName>
    <definedName name="B.I._Revestimientos">'Revestimientos - Pavimentos'!$R$19</definedName>
    <definedName name="Cliente_Fecha">DATOS!$C$17</definedName>
    <definedName name="Cliente_NIF_CIF">DATOS!$C$7</definedName>
    <definedName name="Cliente_Nombre">DATOS!$C$3</definedName>
    <definedName name="Cliente_Obra_Ciudad">DATOS!$C$5</definedName>
    <definedName name="M.O._Albañilería">'Derribos - Albañilería'!$K$38</definedName>
    <definedName name="M.O._Carpintería_A">'Carp_A - Carp_M'!$K$19</definedName>
    <definedName name="M.O._Carpintería_M">'Carp_A - Carp_M'!$K$38</definedName>
    <definedName name="M.O._Derribos">'Derribos - Albañilería'!$K$19</definedName>
    <definedName name="M.O._Electrodomésticos">'Mobiliario - Electrodomésticos'!$K$38</definedName>
    <definedName name="M.O._Instalaciones_A">'Inst_C - Inst_A'!$K$38</definedName>
    <definedName name="M.O._Instalaciones_C">'Inst_C - Inst_A'!$K$19</definedName>
    <definedName name="M.O._Instalaciones_E">'Inst_E - Inst_L'!$K$29</definedName>
    <definedName name="M.O._Instalaciones_L">'Inst_E - Inst_L'!$K$48</definedName>
    <definedName name="M.O._Mobiliario">'Mobiliario - Electrodomésticos'!$K$19</definedName>
    <definedName name="M.O._Pavimentos">'Revestimientos - Pavimentos'!$K$38</definedName>
    <definedName name="M.O._Pintura">Pintura!$K$19</definedName>
    <definedName name="M.O._Revestimientos">'Revestimientos - Pavimentos'!$K$19</definedName>
    <definedName name="Mat_Alañilería">'Derribos - Albañilería'!$N$38</definedName>
    <definedName name="Mat_Carpintería_A">'Carp_A - Carp_M'!$N$19</definedName>
    <definedName name="Mat_Carpintería_M">'Carp_A - Carp_M'!$N$38</definedName>
    <definedName name="Mat_Derribos">'Derribos - Albañilería'!$N$19</definedName>
    <definedName name="Mat_Electrodomésticos">'Mobiliario - Electrodomésticos'!$N$38</definedName>
    <definedName name="Mat_Instalaciones_A">'Inst_C - Inst_A'!$N$38</definedName>
    <definedName name="Mat_Instalaciones_C">'Inst_C - Inst_A'!$N$19</definedName>
    <definedName name="Mat_Instalaciones_E">'Inst_E - Inst_L'!$N$29</definedName>
    <definedName name="Mat_Instalaciones_L">'Inst_E - Inst_L'!$N$48</definedName>
    <definedName name="Mat_Mobiliario">'Mobiliario - Electrodomésticos'!$N$19</definedName>
    <definedName name="Mat_Pavimentos">'Revestimientos - Pavimentos'!$N$38</definedName>
    <definedName name="Mat_Pintura">Pintura!$N$19</definedName>
    <definedName name="Mat_Revestimientos">'Revestimientos - Pavimentos'!$N$19</definedName>
    <definedName name="Obra_Albañilería">'Derribos - Albañilería'!$P$38</definedName>
    <definedName name="Obra_Carpintería_A">'Carp_A - Carp_M'!$P$19</definedName>
    <definedName name="Obra_Carpintería_M">'Carp_A - Carp_M'!$P$38</definedName>
    <definedName name="Obra_Derribos">'Derribos - Albañilería'!$P$19</definedName>
    <definedName name="Obra_Electrodomésticos">'Mobiliario - Electrodomésticos'!$P$38</definedName>
    <definedName name="Obra_Instalaciones_A">'Inst_C - Inst_A'!$P$38</definedName>
    <definedName name="Obra_Instalaciones_C">'Inst_C - Inst_A'!$P$19</definedName>
    <definedName name="Obra_Instalaciones_E">'Inst_E - Inst_L'!$P$29</definedName>
    <definedName name="Obra_Instalaciones_L">'Inst_E - Inst_L'!$P$48</definedName>
    <definedName name="Obra_Mobiliario">'Mobiliario - Electrodomésticos'!$P$19</definedName>
    <definedName name="Obra_Pavimentos">'Revestimientos - Pavimentos'!$P$38</definedName>
    <definedName name="Obra_Pintura">Pintura!$P$19</definedName>
    <definedName name="Obra_Revestimientos">'Revestimientos - Pavimentos'!$P$19</definedName>
    <definedName name="Print_Area" localSheetId="11">FIRMA!$A$1:$I$33</definedName>
    <definedName name="Print_Area" localSheetId="12">'PORTADA PLANOS'!$A$1:$G$49</definedName>
    <definedName name="Print_Area" localSheetId="1">'PORTADA PRESUPUESTO'!$A$1:$G$50</definedName>
    <definedName name="Print_Titles" localSheetId="11">FIRMA!$1:$11</definedName>
    <definedName name="Print_Titles" localSheetId="12">'PORTADA PLANOS'!$1:$19</definedName>
    <definedName name="Print_Titles" localSheetId="1">'PORTADA PRESUPUESTO'!$1:$19</definedName>
    <definedName name="Proyecto">DATOS!$C$12</definedName>
    <definedName name="Superficie__m²">DATOS!$C$15</definedName>
    <definedName name="_xlnm.Print_Titles" localSheetId="10">'CALENDARIO - OBRA'!$1:$4</definedName>
    <definedName name="_xlnm.Print_Titles" localSheetId="13">'Memoria de Calidades'!$1:$4</definedName>
    <definedName name="Total_Albañilería">'Derribos - Albañilería'!$F$38</definedName>
    <definedName name="Total_Carpinterías_A">'Carp_A - Carp_M'!$F$19</definedName>
    <definedName name="Total_Carpinterías_M">'Carp_A - Carp_M'!$F$38</definedName>
    <definedName name="Total_Derribos">'Derribos - Albañilería'!$F$19</definedName>
    <definedName name="Total_Electrodomésticos">'Mobiliario - Electrodomésticos'!$F$38</definedName>
    <definedName name="Total_Instalaciones_A">'Inst_C - Inst_A'!$F$38</definedName>
    <definedName name="Total_Instalaciones_C">'Inst_C - Inst_A'!$F$19</definedName>
    <definedName name="Total_Instalaciones_E">'Inst_E - Inst_L'!$F$29</definedName>
    <definedName name="Total_Instalaciones_L">'Inst_E - Inst_L'!$F$48</definedName>
    <definedName name="Total_Mobiliario">'Mobiliario - Electrodomésticos'!$F$19</definedName>
    <definedName name="Total_Pavimentos">'Revestimientos - Pavimentos'!$F$38</definedName>
    <definedName name="Total_Pintura">Pintura!$F$19</definedName>
    <definedName name="Total_Resumen">'RESUMEN OBRA'!$F$24</definedName>
    <definedName name="Total_Revestimientos">'Revestimientos - Pavimentos'!$F$19</definedName>
    <definedName name="Total_Tasas" localSheetId="8">#REF!</definedName>
    <definedName name="Total_Tasas">#REF!</definedName>
    <definedName name="XTe_Banco">DATOS!$C$23</definedName>
    <definedName name="XTe_Beneficiario">DATOS!$C$22</definedName>
    <definedName name="XTe_Código_IBAN">DATOS!$C$25</definedName>
    <definedName name="XTe_Código_SWIFT">DATOS!$C$26</definedName>
    <definedName name="XTe_cuenta">DATOS!$C$24</definedName>
    <definedName name="XTe_D.O.">DATOS!$C$20</definedName>
    <definedName name="XTe_NIF">DATOS!$C$21</definedName>
    <definedName name="XTe_Obra_Dirección">DATOS!$C$14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13" l="1"/>
  <c r="F28" i="13"/>
  <c r="F8" i="19"/>
  <c r="F9" i="19"/>
  <c r="F27" i="19"/>
  <c r="N8" i="16" l="1"/>
  <c r="K8" i="16"/>
  <c r="N9" i="16"/>
  <c r="K9" i="16"/>
  <c r="P9" i="16" s="1"/>
  <c r="H9" i="16" s="1"/>
  <c r="R9" i="16" s="1"/>
  <c r="N10" i="16"/>
  <c r="K10" i="16"/>
  <c r="N11" i="16"/>
  <c r="P11" i="16" s="1"/>
  <c r="H11" i="16" s="1"/>
  <c r="R11" i="16" s="1"/>
  <c r="K11" i="16"/>
  <c r="N12" i="16"/>
  <c r="K12" i="16"/>
  <c r="P12" i="16"/>
  <c r="H12" i="16" s="1"/>
  <c r="N13" i="16"/>
  <c r="P13" i="16" s="1"/>
  <c r="H13" i="16" s="1"/>
  <c r="K13" i="16"/>
  <c r="N14" i="16"/>
  <c r="P14" i="16" s="1"/>
  <c r="H14" i="16" s="1"/>
  <c r="R14" i="16" s="1"/>
  <c r="K14" i="16"/>
  <c r="N15" i="16"/>
  <c r="P15" i="16" s="1"/>
  <c r="H15" i="16" s="1"/>
  <c r="R15" i="16" s="1"/>
  <c r="K15" i="16"/>
  <c r="N16" i="16"/>
  <c r="P16" i="16" s="1"/>
  <c r="H16" i="16" s="1"/>
  <c r="K16" i="16"/>
  <c r="N17" i="16"/>
  <c r="K17" i="16"/>
  <c r="P17" i="16"/>
  <c r="O2" i="16"/>
  <c r="N27" i="16"/>
  <c r="K27" i="16"/>
  <c r="N28" i="16"/>
  <c r="K28" i="16"/>
  <c r="N29" i="16"/>
  <c r="P29" i="16" s="1"/>
  <c r="H29" i="16" s="1"/>
  <c r="R29" i="16" s="1"/>
  <c r="K29" i="16"/>
  <c r="N30" i="16"/>
  <c r="K30" i="16"/>
  <c r="P30" i="16"/>
  <c r="N31" i="16"/>
  <c r="K31" i="16"/>
  <c r="N32" i="16"/>
  <c r="P32" i="16" s="1"/>
  <c r="H32" i="16" s="1"/>
  <c r="R32" i="16" s="1"/>
  <c r="K32" i="16"/>
  <c r="N33" i="16"/>
  <c r="K33" i="16"/>
  <c r="P33" i="16"/>
  <c r="H33" i="16" s="1"/>
  <c r="R33" i="16" s="1"/>
  <c r="N34" i="16"/>
  <c r="P34" i="16" s="1"/>
  <c r="K34" i="16"/>
  <c r="N35" i="16"/>
  <c r="K35" i="16"/>
  <c r="P35" i="16"/>
  <c r="N36" i="16"/>
  <c r="K36" i="16"/>
  <c r="P36" i="16" s="1"/>
  <c r="H36" i="16" s="1"/>
  <c r="R36" i="16" s="1"/>
  <c r="O21" i="16"/>
  <c r="N8" i="19"/>
  <c r="K8" i="19"/>
  <c r="K9" i="19"/>
  <c r="N9" i="19"/>
  <c r="N10" i="19"/>
  <c r="K10" i="19"/>
  <c r="N11" i="19"/>
  <c r="K11" i="19"/>
  <c r="N12" i="19"/>
  <c r="K12" i="19"/>
  <c r="P12" i="19"/>
  <c r="N13" i="19"/>
  <c r="K13" i="19"/>
  <c r="P13" i="19" s="1"/>
  <c r="H13" i="19" s="1"/>
  <c r="N14" i="19"/>
  <c r="P14" i="19" s="1"/>
  <c r="H14" i="19" s="1"/>
  <c r="R14" i="19" s="1"/>
  <c r="K14" i="19"/>
  <c r="N15" i="19"/>
  <c r="K15" i="19"/>
  <c r="P15" i="19" s="1"/>
  <c r="H15" i="19" s="1"/>
  <c r="R15" i="19" s="1"/>
  <c r="N16" i="19"/>
  <c r="P16" i="19" s="1"/>
  <c r="H16" i="19" s="1"/>
  <c r="K16" i="19"/>
  <c r="N17" i="19"/>
  <c r="P17" i="19" s="1"/>
  <c r="H17" i="19" s="1"/>
  <c r="K17" i="19"/>
  <c r="O2" i="19"/>
  <c r="K27" i="19"/>
  <c r="N27" i="19"/>
  <c r="N28" i="19"/>
  <c r="P28" i="19" s="1"/>
  <c r="H28" i="19" s="1"/>
  <c r="R28" i="19" s="1"/>
  <c r="K28" i="19"/>
  <c r="F29" i="19"/>
  <c r="N29" i="19" s="1"/>
  <c r="N30" i="19"/>
  <c r="K30" i="19"/>
  <c r="P30" i="19"/>
  <c r="N31" i="19"/>
  <c r="P31" i="19" s="1"/>
  <c r="H31" i="19" s="1"/>
  <c r="R31" i="19" s="1"/>
  <c r="K31" i="19"/>
  <c r="N32" i="19"/>
  <c r="P32" i="19" s="1"/>
  <c r="H32" i="19" s="1"/>
  <c r="R32" i="19" s="1"/>
  <c r="K32" i="19"/>
  <c r="N33" i="19"/>
  <c r="K33" i="19"/>
  <c r="P33" i="19"/>
  <c r="N34" i="19"/>
  <c r="P34" i="19" s="1"/>
  <c r="K34" i="19"/>
  <c r="N35" i="19"/>
  <c r="K35" i="19"/>
  <c r="P35" i="19"/>
  <c r="N36" i="19"/>
  <c r="K36" i="19"/>
  <c r="P36" i="19" s="1"/>
  <c r="H36" i="19" s="1"/>
  <c r="R36" i="19" s="1"/>
  <c r="O21" i="19"/>
  <c r="M8" i="23"/>
  <c r="N8" i="23"/>
  <c r="K8" i="23"/>
  <c r="M9" i="23"/>
  <c r="N9" i="23"/>
  <c r="P9" i="23" s="1"/>
  <c r="H9" i="23" s="1"/>
  <c r="R9" i="23" s="1"/>
  <c r="K9" i="23"/>
  <c r="M10" i="23"/>
  <c r="N10" i="23"/>
  <c r="K10" i="23"/>
  <c r="P10" i="23" s="1"/>
  <c r="H10" i="23" s="1"/>
  <c r="R10" i="23" s="1"/>
  <c r="M11" i="23"/>
  <c r="N11" i="23"/>
  <c r="P11" i="23" s="1"/>
  <c r="H11" i="23" s="1"/>
  <c r="R11" i="23" s="1"/>
  <c r="K11" i="23"/>
  <c r="M12" i="23"/>
  <c r="N12" i="23"/>
  <c r="K12" i="23"/>
  <c r="P12" i="23" s="1"/>
  <c r="H12" i="23" s="1"/>
  <c r="R12" i="23" s="1"/>
  <c r="M13" i="23"/>
  <c r="N13" i="23"/>
  <c r="P13" i="23" s="1"/>
  <c r="H13" i="23" s="1"/>
  <c r="K13" i="23"/>
  <c r="N14" i="23"/>
  <c r="K14" i="23"/>
  <c r="P14" i="23"/>
  <c r="H14" i="23" s="1"/>
  <c r="R14" i="23" s="1"/>
  <c r="N15" i="23"/>
  <c r="P15" i="23" s="1"/>
  <c r="H15" i="23" s="1"/>
  <c r="R15" i="23" s="1"/>
  <c r="K15" i="23"/>
  <c r="N16" i="23"/>
  <c r="P16" i="23" s="1"/>
  <c r="H16" i="23" s="1"/>
  <c r="K16" i="23"/>
  <c r="N17" i="23"/>
  <c r="K17" i="23"/>
  <c r="P17" i="23" s="1"/>
  <c r="H17" i="23" s="1"/>
  <c r="O2" i="23"/>
  <c r="N27" i="23"/>
  <c r="J27" i="23"/>
  <c r="K27" i="23"/>
  <c r="N28" i="23"/>
  <c r="K28" i="23"/>
  <c r="P28" i="23" s="1"/>
  <c r="N29" i="23"/>
  <c r="J29" i="23"/>
  <c r="K29" i="23"/>
  <c r="P29" i="23"/>
  <c r="N30" i="23"/>
  <c r="P30" i="23" s="1"/>
  <c r="J30" i="23"/>
  <c r="K30" i="23"/>
  <c r="N31" i="23"/>
  <c r="K31" i="23"/>
  <c r="P31" i="23"/>
  <c r="N32" i="23"/>
  <c r="K32" i="23"/>
  <c r="N33" i="23"/>
  <c r="P33" i="23" s="1"/>
  <c r="K33" i="23"/>
  <c r="N34" i="23"/>
  <c r="K34" i="23"/>
  <c r="P34" i="23"/>
  <c r="N35" i="23"/>
  <c r="P35" i="23" s="1"/>
  <c r="K35" i="23"/>
  <c r="N36" i="23"/>
  <c r="P36" i="23" s="1"/>
  <c r="K36" i="23"/>
  <c r="O21" i="23"/>
  <c r="H31" i="23" s="1"/>
  <c r="R31" i="23" s="1"/>
  <c r="M29" i="24"/>
  <c r="M8" i="24" s="1"/>
  <c r="N8" i="24" s="1"/>
  <c r="K8" i="24"/>
  <c r="M9" i="24"/>
  <c r="N9" i="24" s="1"/>
  <c r="P9" i="24" s="1"/>
  <c r="H9" i="24" s="1"/>
  <c r="R9" i="24" s="1"/>
  <c r="K9" i="24"/>
  <c r="N10" i="24"/>
  <c r="P10" i="24" s="1"/>
  <c r="H10" i="24" s="1"/>
  <c r="R10" i="24" s="1"/>
  <c r="K10" i="24"/>
  <c r="N11" i="24"/>
  <c r="K11" i="24"/>
  <c r="M12" i="24"/>
  <c r="N12" i="24"/>
  <c r="P12" i="24" s="1"/>
  <c r="H12" i="24" s="1"/>
  <c r="K12" i="24"/>
  <c r="N13" i="24"/>
  <c r="K13" i="24"/>
  <c r="P13" i="24"/>
  <c r="H13" i="24" s="1"/>
  <c r="R13" i="24" s="1"/>
  <c r="N14" i="24"/>
  <c r="P14" i="24" s="1"/>
  <c r="H14" i="24" s="1"/>
  <c r="R14" i="24" s="1"/>
  <c r="K14" i="24"/>
  <c r="N15" i="24"/>
  <c r="P15" i="24" s="1"/>
  <c r="H15" i="24" s="1"/>
  <c r="K15" i="24"/>
  <c r="N16" i="24"/>
  <c r="K16" i="24"/>
  <c r="P16" i="24" s="1"/>
  <c r="H16" i="24" s="1"/>
  <c r="N17" i="24"/>
  <c r="K17" i="24"/>
  <c r="P17" i="24" s="1"/>
  <c r="H17" i="24" s="1"/>
  <c r="R17" i="24" s="1"/>
  <c r="O2" i="24"/>
  <c r="N27" i="24"/>
  <c r="P27" i="24" s="1"/>
  <c r="K27" i="24"/>
  <c r="N28" i="24"/>
  <c r="K28" i="24"/>
  <c r="P28" i="24"/>
  <c r="N29" i="24"/>
  <c r="K29" i="24"/>
  <c r="P29" i="24" s="1"/>
  <c r="N30" i="24"/>
  <c r="K30" i="24"/>
  <c r="P30" i="24" s="1"/>
  <c r="N31" i="24"/>
  <c r="K31" i="24"/>
  <c r="P31" i="24"/>
  <c r="N32" i="24"/>
  <c r="K32" i="24"/>
  <c r="N33" i="24"/>
  <c r="P33" i="24" s="1"/>
  <c r="K33" i="24"/>
  <c r="N34" i="24"/>
  <c r="K34" i="24"/>
  <c r="P34" i="24"/>
  <c r="H34" i="24" s="1"/>
  <c r="R34" i="24" s="1"/>
  <c r="N35" i="24"/>
  <c r="P35" i="24" s="1"/>
  <c r="K35" i="24"/>
  <c r="N36" i="24"/>
  <c r="K36" i="24"/>
  <c r="P36" i="24"/>
  <c r="O21" i="24"/>
  <c r="N8" i="25"/>
  <c r="P8" i="25" s="1"/>
  <c r="H8" i="25" s="1"/>
  <c r="R8" i="25" s="1"/>
  <c r="K8" i="25"/>
  <c r="N9" i="25"/>
  <c r="K9" i="25"/>
  <c r="P9" i="25"/>
  <c r="H9" i="25" s="1"/>
  <c r="N10" i="25"/>
  <c r="P10" i="25" s="1"/>
  <c r="H10" i="25" s="1"/>
  <c r="R10" i="25" s="1"/>
  <c r="K10" i="25"/>
  <c r="N11" i="25"/>
  <c r="K11" i="25"/>
  <c r="P11" i="25"/>
  <c r="N12" i="25"/>
  <c r="K12" i="25"/>
  <c r="N13" i="25"/>
  <c r="K13" i="25"/>
  <c r="P13" i="25" s="1"/>
  <c r="H13" i="25" s="1"/>
  <c r="N14" i="25"/>
  <c r="K14" i="25"/>
  <c r="P14" i="25" s="1"/>
  <c r="H14" i="25" s="1"/>
  <c r="R14" i="25" s="1"/>
  <c r="N15" i="25"/>
  <c r="K15" i="25"/>
  <c r="N16" i="25"/>
  <c r="P16" i="25" s="1"/>
  <c r="H16" i="25" s="1"/>
  <c r="K16" i="25"/>
  <c r="N17" i="25"/>
  <c r="K17" i="25"/>
  <c r="P17" i="25"/>
  <c r="H17" i="25" s="1"/>
  <c r="R17" i="25" s="1"/>
  <c r="N18" i="25"/>
  <c r="P18" i="25" s="1"/>
  <c r="H18" i="25" s="1"/>
  <c r="R18" i="25" s="1"/>
  <c r="K18" i="25"/>
  <c r="N19" i="25"/>
  <c r="K19" i="25"/>
  <c r="P19" i="25"/>
  <c r="F20" i="25"/>
  <c r="N20" i="25"/>
  <c r="P20" i="25" s="1"/>
  <c r="H20" i="25" s="1"/>
  <c r="K20" i="25"/>
  <c r="N21" i="25"/>
  <c r="P21" i="25" s="1"/>
  <c r="H21" i="25" s="1"/>
  <c r="R21" i="25" s="1"/>
  <c r="K21" i="25"/>
  <c r="N22" i="25"/>
  <c r="K22" i="25"/>
  <c r="P22" i="25"/>
  <c r="H22" i="25" s="1"/>
  <c r="R22" i="25" s="1"/>
  <c r="N23" i="25"/>
  <c r="P23" i="25" s="1"/>
  <c r="H23" i="25" s="1"/>
  <c r="K23" i="25"/>
  <c r="N24" i="25"/>
  <c r="K24" i="25"/>
  <c r="P24" i="25"/>
  <c r="N25" i="25"/>
  <c r="K25" i="25"/>
  <c r="P25" i="25" s="1"/>
  <c r="H25" i="25" s="1"/>
  <c r="R25" i="25" s="1"/>
  <c r="N26" i="25"/>
  <c r="K26" i="25"/>
  <c r="P26" i="25" s="1"/>
  <c r="H26" i="25" s="1"/>
  <c r="N27" i="25"/>
  <c r="K27" i="25"/>
  <c r="P27" i="25" s="1"/>
  <c r="H27" i="25" s="1"/>
  <c r="R27" i="25" s="1"/>
  <c r="O2" i="25"/>
  <c r="N37" i="25"/>
  <c r="K37" i="25"/>
  <c r="P37" i="25"/>
  <c r="M38" i="25"/>
  <c r="N38" i="25"/>
  <c r="K38" i="25"/>
  <c r="N39" i="25"/>
  <c r="P39" i="25" s="1"/>
  <c r="H39" i="25" s="1"/>
  <c r="K39" i="25"/>
  <c r="M40" i="25"/>
  <c r="N40" i="25" s="1"/>
  <c r="P40" i="25" s="1"/>
  <c r="H40" i="25" s="1"/>
  <c r="R40" i="25" s="1"/>
  <c r="K40" i="25"/>
  <c r="K48" i="25" s="1"/>
  <c r="I19" i="13" s="1"/>
  <c r="N41" i="25"/>
  <c r="K41" i="25"/>
  <c r="P41" i="25" s="1"/>
  <c r="H41" i="25" s="1"/>
  <c r="N42" i="25"/>
  <c r="K42" i="25"/>
  <c r="P42" i="25" s="1"/>
  <c r="H42" i="25" s="1"/>
  <c r="R42" i="25" s="1"/>
  <c r="N43" i="25"/>
  <c r="P43" i="25" s="1"/>
  <c r="H43" i="25" s="1"/>
  <c r="R43" i="25" s="1"/>
  <c r="N44" i="25"/>
  <c r="P44" i="25" s="1"/>
  <c r="H44" i="25" s="1"/>
  <c r="K44" i="25"/>
  <c r="N45" i="25"/>
  <c r="P45" i="25" s="1"/>
  <c r="H45" i="25" s="1"/>
  <c r="R45" i="25" s="1"/>
  <c r="K45" i="25"/>
  <c r="N46" i="25"/>
  <c r="P46" i="25" s="1"/>
  <c r="H46" i="25" s="1"/>
  <c r="K46" i="25"/>
  <c r="O31" i="25"/>
  <c r="N8" i="47"/>
  <c r="P8" i="47" s="1"/>
  <c r="K8" i="47"/>
  <c r="N9" i="47"/>
  <c r="K9" i="47"/>
  <c r="P9" i="47"/>
  <c r="N10" i="47"/>
  <c r="K10" i="47"/>
  <c r="P10" i="47" s="1"/>
  <c r="H10" i="47" s="1"/>
  <c r="R10" i="47" s="1"/>
  <c r="N11" i="47"/>
  <c r="K11" i="47"/>
  <c r="N12" i="47"/>
  <c r="P12" i="47" s="1"/>
  <c r="H12" i="47" s="1"/>
  <c r="K12" i="47"/>
  <c r="N13" i="47"/>
  <c r="K13" i="47"/>
  <c r="P13" i="47"/>
  <c r="N14" i="47"/>
  <c r="P14" i="47" s="1"/>
  <c r="H14" i="47" s="1"/>
  <c r="R14" i="47" s="1"/>
  <c r="K14" i="47"/>
  <c r="N15" i="47"/>
  <c r="P15" i="47" s="1"/>
  <c r="H15" i="47" s="1"/>
  <c r="R15" i="47" s="1"/>
  <c r="K15" i="47"/>
  <c r="N16" i="47"/>
  <c r="K16" i="47"/>
  <c r="N17" i="47"/>
  <c r="K17" i="47"/>
  <c r="P17" i="47"/>
  <c r="O2" i="47"/>
  <c r="N27" i="47"/>
  <c r="P27" i="47" s="1"/>
  <c r="K27" i="47"/>
  <c r="N28" i="47"/>
  <c r="P28" i="47" s="1"/>
  <c r="K28" i="47"/>
  <c r="N29" i="47"/>
  <c r="K29" i="47"/>
  <c r="K38" i="47" s="1"/>
  <c r="I21" i="13" s="1"/>
  <c r="N30" i="47"/>
  <c r="K30" i="47"/>
  <c r="P30" i="47"/>
  <c r="N31" i="47"/>
  <c r="P31" i="47" s="1"/>
  <c r="K31" i="47"/>
  <c r="N32" i="47"/>
  <c r="K32" i="47"/>
  <c r="N33" i="47"/>
  <c r="P33" i="47" s="1"/>
  <c r="K33" i="47"/>
  <c r="N34" i="47"/>
  <c r="K34" i="47"/>
  <c r="P34" i="47"/>
  <c r="N35" i="47"/>
  <c r="K35" i="47"/>
  <c r="P35" i="47"/>
  <c r="N36" i="47"/>
  <c r="P36" i="47" s="1"/>
  <c r="K36" i="47"/>
  <c r="O21" i="47"/>
  <c r="N8" i="29"/>
  <c r="P8" i="29" s="1"/>
  <c r="K8" i="29"/>
  <c r="N9" i="29"/>
  <c r="K9" i="29"/>
  <c r="P9" i="29"/>
  <c r="H9" i="29" s="1"/>
  <c r="N10" i="29"/>
  <c r="K10" i="29"/>
  <c r="P10" i="29"/>
  <c r="N11" i="29"/>
  <c r="K11" i="29"/>
  <c r="P11" i="29"/>
  <c r="N12" i="29"/>
  <c r="K12" i="29"/>
  <c r="K19" i="29" s="1"/>
  <c r="I22" i="13" s="1"/>
  <c r="N13" i="29"/>
  <c r="K13" i="29"/>
  <c r="P13" i="29" s="1"/>
  <c r="H13" i="29" s="1"/>
  <c r="R13" i="29" s="1"/>
  <c r="N14" i="29"/>
  <c r="P14" i="29" s="1"/>
  <c r="H14" i="29" s="1"/>
  <c r="R14" i="29" s="1"/>
  <c r="K14" i="29"/>
  <c r="N15" i="29"/>
  <c r="K15" i="29"/>
  <c r="N16" i="29"/>
  <c r="P16" i="29" s="1"/>
  <c r="H16" i="29" s="1"/>
  <c r="K16" i="29"/>
  <c r="N17" i="29"/>
  <c r="K17" i="29"/>
  <c r="P17" i="29"/>
  <c r="H17" i="29" s="1"/>
  <c r="R17" i="29" s="1"/>
  <c r="O2" i="29"/>
  <c r="B29" i="42"/>
  <c r="B26" i="42"/>
  <c r="B30" i="42"/>
  <c r="B26" i="44"/>
  <c r="B28" i="44"/>
  <c r="R26" i="25"/>
  <c r="C22" i="13"/>
  <c r="B22" i="13"/>
  <c r="C21" i="13"/>
  <c r="B21" i="13"/>
  <c r="C20" i="13"/>
  <c r="B20" i="13"/>
  <c r="C19" i="13"/>
  <c r="B19" i="13"/>
  <c r="C18" i="13"/>
  <c r="B18" i="13"/>
  <c r="C17" i="13"/>
  <c r="B17" i="13"/>
  <c r="C16" i="13"/>
  <c r="B16" i="13"/>
  <c r="C15" i="13"/>
  <c r="B15" i="13"/>
  <c r="C13" i="13"/>
  <c r="B13" i="13"/>
  <c r="C11" i="13"/>
  <c r="B11" i="13"/>
  <c r="K38" i="24"/>
  <c r="I17" i="13" s="1"/>
  <c r="H30" i="16"/>
  <c r="R30" i="16" s="1"/>
  <c r="H34" i="16"/>
  <c r="R34" i="16" s="1"/>
  <c r="H35" i="16"/>
  <c r="R35" i="16" s="1"/>
  <c r="H33" i="19"/>
  <c r="R33" i="19" s="1"/>
  <c r="H35" i="19"/>
  <c r="R35" i="19"/>
  <c r="H30" i="19"/>
  <c r="R30" i="19" s="1"/>
  <c r="H34" i="19"/>
  <c r="R34" i="19" s="1"/>
  <c r="H33" i="47"/>
  <c r="R33" i="47" s="1"/>
  <c r="K19" i="47"/>
  <c r="I20" i="13" s="1"/>
  <c r="H9" i="47"/>
  <c r="R9" i="47"/>
  <c r="H17" i="47"/>
  <c r="R17" i="47" s="1"/>
  <c r="H13" i="47"/>
  <c r="R13" i="47" s="1"/>
  <c r="H36" i="47"/>
  <c r="R36" i="47" s="1"/>
  <c r="R41" i="25"/>
  <c r="H24" i="25"/>
  <c r="R24" i="25"/>
  <c r="R23" i="25"/>
  <c r="R12" i="47"/>
  <c r="H19" i="25"/>
  <c r="R19" i="25"/>
  <c r="R20" i="25"/>
  <c r="R46" i="25"/>
  <c r="R44" i="25"/>
  <c r="H37" i="25"/>
  <c r="R37" i="25" s="1"/>
  <c r="R39" i="25"/>
  <c r="R13" i="25"/>
  <c r="H11" i="25"/>
  <c r="R11" i="25"/>
  <c r="R9" i="25"/>
  <c r="H11" i="29"/>
  <c r="R11" i="29" s="1"/>
  <c r="R15" i="24"/>
  <c r="R16" i="29"/>
  <c r="R13" i="16"/>
  <c r="H17" i="16"/>
  <c r="R17" i="16"/>
  <c r="R12" i="16"/>
  <c r="R16" i="16"/>
  <c r="H12" i="19"/>
  <c r="R12" i="19"/>
  <c r="R16" i="19"/>
  <c r="R13" i="19"/>
  <c r="R17" i="19"/>
  <c r="R12" i="24"/>
  <c r="R16" i="24"/>
  <c r="H10" i="29"/>
  <c r="R10" i="29" s="1"/>
  <c r="N19" i="23"/>
  <c r="K14" i="13"/>
  <c r="R17" i="23"/>
  <c r="R13" i="23"/>
  <c r="R16" i="25"/>
  <c r="R9" i="29"/>
  <c r="R16" i="23"/>
  <c r="G38" i="43"/>
  <c r="G37" i="43"/>
  <c r="G36" i="43"/>
  <c r="G35" i="43"/>
  <c r="G34" i="43"/>
  <c r="E25" i="43"/>
  <c r="E23" i="43"/>
  <c r="B20" i="44"/>
  <c r="G25" i="43"/>
  <c r="G23" i="43"/>
  <c r="E2" i="34"/>
  <c r="B4" i="13"/>
  <c r="D4" i="13"/>
  <c r="B20" i="42"/>
  <c r="C14" i="36"/>
  <c r="B14" i="13"/>
  <c r="B12" i="13"/>
  <c r="B10" i="13"/>
  <c r="C14" i="13"/>
  <c r="C12" i="13"/>
  <c r="C10" i="13"/>
  <c r="P27" i="19" l="1"/>
  <c r="H27" i="19" s="1"/>
  <c r="P10" i="19"/>
  <c r="H10" i="19" s="1"/>
  <c r="R10" i="19" s="1"/>
  <c r="P11" i="19"/>
  <c r="H11" i="19" s="1"/>
  <c r="R11" i="19" s="1"/>
  <c r="P9" i="19"/>
  <c r="H9" i="19" s="1"/>
  <c r="R9" i="19" s="1"/>
  <c r="K19" i="19"/>
  <c r="I12" i="13" s="1"/>
  <c r="P27" i="16"/>
  <c r="H27" i="16" s="1"/>
  <c r="K19" i="16"/>
  <c r="I10" i="13" s="1"/>
  <c r="S10" i="13" s="1"/>
  <c r="P8" i="16"/>
  <c r="H8" i="16" s="1"/>
  <c r="H29" i="23"/>
  <c r="R29" i="23" s="1"/>
  <c r="H35" i="47"/>
  <c r="R35" i="47" s="1"/>
  <c r="H30" i="47"/>
  <c r="R30" i="47" s="1"/>
  <c r="H8" i="47"/>
  <c r="H36" i="24"/>
  <c r="R36" i="24" s="1"/>
  <c r="H28" i="24"/>
  <c r="R28" i="24" s="1"/>
  <c r="H31" i="24"/>
  <c r="R31" i="24" s="1"/>
  <c r="H30" i="24"/>
  <c r="R30" i="24" s="1"/>
  <c r="H27" i="24"/>
  <c r="N19" i="24"/>
  <c r="K16" i="13" s="1"/>
  <c r="P8" i="24"/>
  <c r="P38" i="25"/>
  <c r="N48" i="25"/>
  <c r="K19" i="13" s="1"/>
  <c r="H33" i="24"/>
  <c r="R33" i="24" s="1"/>
  <c r="H29" i="24"/>
  <c r="R29" i="24" s="1"/>
  <c r="H33" i="23"/>
  <c r="R33" i="23" s="1"/>
  <c r="H30" i="23"/>
  <c r="R30" i="23" s="1"/>
  <c r="N38" i="19"/>
  <c r="K13" i="13" s="1"/>
  <c r="P10" i="16"/>
  <c r="H10" i="16" s="1"/>
  <c r="R10" i="16" s="1"/>
  <c r="N19" i="16"/>
  <c r="K10" i="13" s="1"/>
  <c r="P27" i="23"/>
  <c r="K38" i="23"/>
  <c r="I15" i="13" s="1"/>
  <c r="H28" i="47"/>
  <c r="R28" i="47" s="1"/>
  <c r="P29" i="47"/>
  <c r="H29" i="47" s="1"/>
  <c r="R29" i="47" s="1"/>
  <c r="P12" i="29"/>
  <c r="H12" i="29" s="1"/>
  <c r="R12" i="29" s="1"/>
  <c r="P32" i="47"/>
  <c r="H32" i="47" s="1"/>
  <c r="R32" i="47" s="1"/>
  <c r="N38" i="47"/>
  <c r="K21" i="13" s="1"/>
  <c r="S21" i="13" s="1"/>
  <c r="K29" i="25"/>
  <c r="I18" i="13" s="1"/>
  <c r="P12" i="25"/>
  <c r="P32" i="24"/>
  <c r="H32" i="24" s="1"/>
  <c r="R32" i="24" s="1"/>
  <c r="N38" i="24"/>
  <c r="K17" i="13" s="1"/>
  <c r="S17" i="13" s="1"/>
  <c r="P32" i="23"/>
  <c r="H32" i="23" s="1"/>
  <c r="R32" i="23" s="1"/>
  <c r="N38" i="23"/>
  <c r="K15" i="13" s="1"/>
  <c r="K38" i="16"/>
  <c r="I11" i="13" s="1"/>
  <c r="P11" i="47"/>
  <c r="H11" i="47" s="1"/>
  <c r="R11" i="47" s="1"/>
  <c r="N19" i="47"/>
  <c r="K20" i="13" s="1"/>
  <c r="S20" i="13" s="1"/>
  <c r="S19" i="13"/>
  <c r="H35" i="24"/>
  <c r="R35" i="24" s="1"/>
  <c r="H35" i="23"/>
  <c r="R35" i="23" s="1"/>
  <c r="K19" i="23"/>
  <c r="I14" i="13" s="1"/>
  <c r="S14" i="13" s="1"/>
  <c r="P8" i="23"/>
  <c r="P11" i="24"/>
  <c r="H11" i="24" s="1"/>
  <c r="R11" i="24" s="1"/>
  <c r="K19" i="24"/>
  <c r="I16" i="13" s="1"/>
  <c r="S16" i="13" s="1"/>
  <c r="H27" i="47"/>
  <c r="H36" i="23"/>
  <c r="R36" i="23" s="1"/>
  <c r="P15" i="29"/>
  <c r="H15" i="29" s="1"/>
  <c r="R15" i="29" s="1"/>
  <c r="N19" i="29"/>
  <c r="K22" i="13" s="1"/>
  <c r="S22" i="13" s="1"/>
  <c r="H34" i="47"/>
  <c r="R34" i="47" s="1"/>
  <c r="H31" i="47"/>
  <c r="R31" i="47" s="1"/>
  <c r="P16" i="47"/>
  <c r="H16" i="47" s="1"/>
  <c r="R16" i="47" s="1"/>
  <c r="H34" i="23"/>
  <c r="R34" i="23" s="1"/>
  <c r="P31" i="16"/>
  <c r="H31" i="16" s="1"/>
  <c r="R31" i="16" s="1"/>
  <c r="N38" i="16"/>
  <c r="K11" i="13" s="1"/>
  <c r="H8" i="29"/>
  <c r="P38" i="47"/>
  <c r="P15" i="25"/>
  <c r="H15" i="25" s="1"/>
  <c r="R15" i="25" s="1"/>
  <c r="N29" i="25"/>
  <c r="K18" i="13" s="1"/>
  <c r="H28" i="23"/>
  <c r="R28" i="23" s="1"/>
  <c r="N19" i="19"/>
  <c r="K12" i="13" s="1"/>
  <c r="P8" i="19"/>
  <c r="P28" i="16"/>
  <c r="H28" i="16" s="1"/>
  <c r="R28" i="16" s="1"/>
  <c r="K29" i="19"/>
  <c r="P29" i="19" s="1"/>
  <c r="S12" i="13" l="1"/>
  <c r="P19" i="16"/>
  <c r="H29" i="19"/>
  <c r="R29" i="19" s="1"/>
  <c r="P38" i="19"/>
  <c r="K38" i="19"/>
  <c r="I13" i="13" s="1"/>
  <c r="S13" i="13" s="1"/>
  <c r="S11" i="13"/>
  <c r="P48" i="25"/>
  <c r="H38" i="25"/>
  <c r="P19" i="24"/>
  <c r="H8" i="24"/>
  <c r="P19" i="47"/>
  <c r="R8" i="16"/>
  <c r="R19" i="16" s="1"/>
  <c r="O10" i="13" s="1"/>
  <c r="H19" i="16"/>
  <c r="H19" i="47"/>
  <c r="R8" i="47"/>
  <c r="R19" i="47" s="1"/>
  <c r="O20" i="13" s="1"/>
  <c r="R27" i="19"/>
  <c r="R27" i="16"/>
  <c r="R38" i="16" s="1"/>
  <c r="O11" i="13" s="1"/>
  <c r="H38" i="16"/>
  <c r="H38" i="47"/>
  <c r="R27" i="47"/>
  <c r="R38" i="47" s="1"/>
  <c r="O21" i="13" s="1"/>
  <c r="P38" i="24"/>
  <c r="F19" i="16"/>
  <c r="F10" i="13" s="1"/>
  <c r="M10" i="13"/>
  <c r="P38" i="16"/>
  <c r="M21" i="13"/>
  <c r="F38" i="47"/>
  <c r="F21" i="13" s="1"/>
  <c r="H12" i="25"/>
  <c r="P29" i="25"/>
  <c r="S15" i="13"/>
  <c r="R27" i="24"/>
  <c r="R38" i="24" s="1"/>
  <c r="O17" i="13" s="1"/>
  <c r="H38" i="24"/>
  <c r="P19" i="19"/>
  <c r="H8" i="19"/>
  <c r="P19" i="29"/>
  <c r="S18" i="13"/>
  <c r="H27" i="23"/>
  <c r="P38" i="23"/>
  <c r="H19" i="29"/>
  <c r="R8" i="29"/>
  <c r="R19" i="29" s="1"/>
  <c r="O22" i="13" s="1"/>
  <c r="P19" i="23"/>
  <c r="H8" i="23"/>
  <c r="K24" i="13"/>
  <c r="I24" i="13" l="1"/>
  <c r="H38" i="19"/>
  <c r="R38" i="19"/>
  <c r="O13" i="13" s="1"/>
  <c r="S24" i="13"/>
  <c r="Q10" i="13"/>
  <c r="R38" i="25"/>
  <c r="R48" i="25" s="1"/>
  <c r="O19" i="13" s="1"/>
  <c r="H48" i="25"/>
  <c r="M17" i="13"/>
  <c r="Q17" i="13" s="1"/>
  <c r="F38" i="24"/>
  <c r="F17" i="13" s="1"/>
  <c r="F29" i="25"/>
  <c r="F18" i="13" s="1"/>
  <c r="M18" i="13"/>
  <c r="R12" i="25"/>
  <c r="R29" i="25" s="1"/>
  <c r="O18" i="13" s="1"/>
  <c r="H29" i="25"/>
  <c r="M19" i="13"/>
  <c r="Q19" i="13" s="1"/>
  <c r="F48" i="25"/>
  <c r="F19" i="13" s="1"/>
  <c r="M20" i="13"/>
  <c r="Q20" i="13" s="1"/>
  <c r="F19" i="47"/>
  <c r="F20" i="13" s="1"/>
  <c r="H38" i="23"/>
  <c r="R27" i="23"/>
  <c r="R38" i="23" s="1"/>
  <c r="O15" i="13" s="1"/>
  <c r="F19" i="29"/>
  <c r="F22" i="13" s="1"/>
  <c r="M22" i="13"/>
  <c r="Q22" i="13" s="1"/>
  <c r="R8" i="23"/>
  <c r="R19" i="23" s="1"/>
  <c r="O14" i="13" s="1"/>
  <c r="H19" i="23"/>
  <c r="R8" i="19"/>
  <c r="R19" i="19" s="1"/>
  <c r="O12" i="13" s="1"/>
  <c r="H19" i="19"/>
  <c r="Q21" i="13"/>
  <c r="H19" i="24"/>
  <c r="R8" i="24"/>
  <c r="R19" i="24" s="1"/>
  <c r="O16" i="13" s="1"/>
  <c r="F38" i="19"/>
  <c r="F13" i="13" s="1"/>
  <c r="M13" i="13"/>
  <c r="M15" i="13"/>
  <c r="F38" i="23"/>
  <c r="F15" i="13" s="1"/>
  <c r="M14" i="13"/>
  <c r="F19" i="23"/>
  <c r="F14" i="13" s="1"/>
  <c r="M12" i="13"/>
  <c r="F19" i="19"/>
  <c r="F12" i="13" s="1"/>
  <c r="F38" i="16"/>
  <c r="F11" i="13" s="1"/>
  <c r="M11" i="13"/>
  <c r="Q11" i="13" s="1"/>
  <c r="F19" i="24"/>
  <c r="F16" i="13" s="1"/>
  <c r="M16" i="13"/>
  <c r="Q18" i="13" l="1"/>
  <c r="Q14" i="13"/>
  <c r="Q13" i="13"/>
  <c r="O24" i="13"/>
  <c r="Q15" i="13"/>
  <c r="Q16" i="13"/>
  <c r="F24" i="13"/>
  <c r="Q12" i="13"/>
  <c r="M24" i="13"/>
  <c r="E15" i="43" l="1"/>
  <c r="G9" i="34"/>
  <c r="L9" i="34" s="1"/>
  <c r="M9" i="34" s="1"/>
  <c r="Q24" i="13"/>
  <c r="G11" i="34"/>
  <c r="L11" i="34" s="1"/>
  <c r="M11" i="34" s="1"/>
  <c r="G10" i="34"/>
  <c r="L10" i="34" s="1"/>
  <c r="M10" i="34" s="1"/>
  <c r="G8" i="34"/>
  <c r="G12" i="34" l="1"/>
  <c r="F12" i="34" s="1"/>
  <c r="F14" i="34" s="1"/>
  <c r="J8" i="34"/>
  <c r="K8" i="34" s="1"/>
  <c r="L8" i="34"/>
  <c r="M8" i="34" s="1"/>
  <c r="L12" i="34" l="1"/>
  <c r="M12" i="34" s="1"/>
  <c r="G14" i="34"/>
  <c r="J9" i="34"/>
  <c r="K9" i="34" s="1"/>
  <c r="J10" i="34" l="1"/>
  <c r="K10" i="34" s="1"/>
  <c r="J11" i="34" l="1"/>
  <c r="J12" i="34" s="1"/>
  <c r="K12" i="34" s="1"/>
  <c r="K11" i="34" l="1"/>
</calcChain>
</file>

<file path=xl/sharedStrings.xml><?xml version="1.0" encoding="utf-8"?>
<sst xmlns="http://schemas.openxmlformats.org/spreadsheetml/2006/main" count="446" uniqueCount="213">
  <si>
    <t>IMPORTE</t>
  </si>
  <si>
    <t>A</t>
  </si>
  <si>
    <t>TOTAL</t>
  </si>
  <si>
    <t>B</t>
  </si>
  <si>
    <t>E</t>
  </si>
  <si>
    <t>F</t>
  </si>
  <si>
    <t>C</t>
  </si>
  <si>
    <t>D</t>
  </si>
  <si>
    <t>PARTIDAS</t>
  </si>
  <si>
    <t>PINTURA</t>
  </si>
  <si>
    <t>G</t>
  </si>
  <si>
    <t>H</t>
  </si>
  <si>
    <t>REVESTIMIENTOS</t>
  </si>
  <si>
    <t>PAVIMENTOS</t>
  </si>
  <si>
    <t>UNIDAD</t>
  </si>
  <si>
    <t>TAREAS</t>
  </si>
  <si>
    <t>CANTIDAD</t>
  </si>
  <si>
    <t>TOTAL PRESUPUESTO DE LA PARTIDA</t>
  </si>
  <si>
    <t>Este presupuesto es referencial.  Corresponde a la propuesta de diseño presentada y será reajustado en función de las modificaciones que ésta sufra.</t>
  </si>
  <si>
    <t>Incluye el uso de los equipos y medios necesarios para el transporte del material y para la realización de las tareas descritas.</t>
  </si>
  <si>
    <t>Incluye el coste de la mano de obra especializada para la ejecución de los trabajos.</t>
  </si>
  <si>
    <t>DERRIBOS, DESMONTAJE Y TRASLADOS</t>
  </si>
  <si>
    <t>SEMANA</t>
  </si>
  <si>
    <t>Monto</t>
  </si>
  <si>
    <t>Porcentaje</t>
  </si>
  <si>
    <t>Pagado</t>
  </si>
  <si>
    <t>Por pagar</t>
  </si>
  <si>
    <t>PRESUPUESTO</t>
  </si>
  <si>
    <t>PORCENTAJE</t>
  </si>
  <si>
    <t>B.I. 20%</t>
  </si>
  <si>
    <t>B.I. 10%</t>
  </si>
  <si>
    <t>FECHA</t>
  </si>
  <si>
    <t>El presupuesto ha sido calculado sobre la medida de las dimensiones tomadas en la vivienda.</t>
  </si>
  <si>
    <t>Las tareas se realizarán en el plazo pactado que no será menor de 6 semanas y como máximo 8 semanas a contarse a partir de la entrega de la primera provisión de fondos y la obtención de la Licencia de obra correspondiente.</t>
  </si>
  <si>
    <t>MOBILIARIO, ACCESORIOS Y MOBILIARIO SANITARIO</t>
  </si>
  <si>
    <t>I</t>
  </si>
  <si>
    <t>ELECTRODOMÉSTICOS</t>
  </si>
  <si>
    <t>CALENDARIO DE OBRA Y PAGOS</t>
  </si>
  <si>
    <t>DESCRIPCIÓN</t>
  </si>
  <si>
    <t>Provisión de fondos e inicio de trámite de licencias.</t>
  </si>
  <si>
    <t>Pago final.</t>
  </si>
  <si>
    <t>MEMORIA DE CALIDADES</t>
  </si>
  <si>
    <t>NOTAS</t>
  </si>
  <si>
    <t>A123456789</t>
  </si>
  <si>
    <t>Propietario</t>
  </si>
  <si>
    <t>Forma de pago:</t>
  </si>
  <si>
    <t>PLANOS</t>
  </si>
  <si>
    <t>B.I. 15%</t>
  </si>
  <si>
    <t>B.I. 05%</t>
  </si>
  <si>
    <t>Cliente / Razón social:</t>
  </si>
  <si>
    <t>Dirección:</t>
  </si>
  <si>
    <t>NIF/CIF:</t>
  </si>
  <si>
    <t>Teléfono:</t>
  </si>
  <si>
    <t>Proyecto:</t>
  </si>
  <si>
    <t>Número de Proyecto:</t>
  </si>
  <si>
    <t>Dirección de Proyecto:</t>
  </si>
  <si>
    <t>Fecha presupuesto:</t>
  </si>
  <si>
    <t>Represente legal:</t>
  </si>
  <si>
    <t>TOTAL OBRA</t>
  </si>
  <si>
    <t>TOTAL B.I.</t>
  </si>
  <si>
    <t>B.I.</t>
  </si>
  <si>
    <t>OBRA</t>
  </si>
  <si>
    <r>
      <rPr>
        <sz val="16"/>
        <rFont val="Futura LT Light"/>
      </rPr>
      <t xml:space="preserve">(I.V.A. </t>
    </r>
    <r>
      <rPr>
        <b/>
        <sz val="16"/>
        <rFont val="Futura LT Light"/>
      </rPr>
      <t xml:space="preserve">NO </t>
    </r>
    <r>
      <rPr>
        <sz val="16"/>
        <rFont val="Futura LT Light"/>
      </rPr>
      <t>incluido)</t>
    </r>
  </si>
  <si>
    <t>NIF XTe:</t>
  </si>
  <si>
    <t>Banco:</t>
  </si>
  <si>
    <t>Cuenta:</t>
  </si>
  <si>
    <t>Código IBAN:</t>
  </si>
  <si>
    <t>Código SWIFT:</t>
  </si>
  <si>
    <t>Beneficiario:</t>
  </si>
  <si>
    <t xml:space="preserve">Los pagos se percibirán al contado y en los siguientes términos:
</t>
  </si>
  <si>
    <t>Entidad:</t>
  </si>
  <si>
    <t>DATOS PROYECTO</t>
  </si>
  <si>
    <t>DATOS CLIENTE</t>
  </si>
  <si>
    <t>DATOS XTe</t>
  </si>
  <si>
    <t>B.I. / BENEFICIO INDUSTRIAL</t>
  </si>
  <si>
    <r>
      <t xml:space="preserve">Dirección de obra </t>
    </r>
    <r>
      <rPr>
        <b/>
        <sz val="11"/>
        <color theme="1"/>
        <rFont val="Futura LT Light"/>
      </rPr>
      <t>XTe</t>
    </r>
    <r>
      <rPr>
        <sz val="11"/>
        <color theme="1"/>
        <rFont val="Futura LT Light"/>
      </rPr>
      <t>:</t>
    </r>
  </si>
  <si>
    <t>PRECIO DE EJECUCIÓN DE OBRA</t>
  </si>
  <si>
    <t>MANO DE OBRA</t>
  </si>
  <si>
    <t>MATERIAL</t>
  </si>
  <si>
    <t>TOTAL M.O.</t>
  </si>
  <si>
    <t>TOTAL MATERIAL</t>
  </si>
  <si>
    <t>Segundo pago</t>
  </si>
  <si>
    <t>Tercer pago</t>
  </si>
  <si>
    <t>Cuarto pago</t>
  </si>
  <si>
    <t>PA</t>
  </si>
  <si>
    <t>ud</t>
  </si>
  <si>
    <t>m²</t>
  </si>
  <si>
    <t>Suministro e instalación de cuadro eléctrico en vivienda.</t>
  </si>
  <si>
    <t>Incluye:</t>
  </si>
  <si>
    <t>ICP Interruptor Control de Potencia  40A</t>
  </si>
  <si>
    <t>Protector contra sobretensiones  40A</t>
  </si>
  <si>
    <t>Interruptor Diferencial 40A - 30mA</t>
  </si>
  <si>
    <t xml:space="preserve"> Interruptor Automatico Magnetotérmico 10A</t>
  </si>
  <si>
    <t xml:space="preserve"> Interruptor Automatico Magnetotérmico 16A</t>
  </si>
  <si>
    <t xml:space="preserve"> Interruptor Automatico Magnetotérmico 25A</t>
  </si>
  <si>
    <t>Cuadro eléctrico para 28 elementos.</t>
  </si>
  <si>
    <t>Boletín eléctrico</t>
  </si>
  <si>
    <t>Suministro y colocación de ventana de aluminio con dos hojas correderas con cámara de aire. En color blanco y persiana. Medidas 1,50 x 1,30 m. - V01</t>
  </si>
  <si>
    <t>Suministro y colocación de balconera monoblock de aluminio con dos hojas correderas con cámara de aire y cámara de aire. En color blanco. Medidas 0,55 x 2,20 m. - V02</t>
  </si>
  <si>
    <t>Suministro y colocación de ventana de aluminio con dos hojas correderas con cámara de aire. En color blanco y persiana. Medidas 1,38 x 1,20 m. - V03</t>
  </si>
  <si>
    <t>Suministro y colocación de ventana de aluminio con dos hojas correderas con cámara de aire. En color blanco. Medidas 1,00 x 2,00 m. - V04</t>
  </si>
  <si>
    <t>Suministro y colocación de ventana de aluminio oscilobatiente con cámara de aire. En color blanco. Medidas 0,97 x 0,75 m. - V05</t>
  </si>
  <si>
    <t>Suministro y colocación de balconera de aluminio y persiana. Incluye motorización y cajón de aluminio en el exerior. - Medidas 2,00 x 3,00 m. - V06</t>
  </si>
  <si>
    <t>Suministro y colocación de panel de mampara de ducha compuesto por una hoja. Cristal templado de 6 mm transparente. Medidas 120 x 195 cm</t>
  </si>
  <si>
    <t>Suministro y colocación de puerta batiente de madera en color blanco y cristalera translúcida. Incluye Marco y premarco, herrajes y maneta. Medidas 2,10 x 0,70 m. - P01</t>
  </si>
  <si>
    <t>Suministro y colocación de puerta corredera tipo exterior en cocina en DM pintada en color blanco. Medidas 2,10 x 0,60 m. - P04</t>
  </si>
  <si>
    <t>Suministro y colocación de puerta vidriera en pasillo color blanco y cristal translúcido. Medidas 2,10 x 0,70 m. - P02</t>
  </si>
  <si>
    <t>Suministro y colocación Puerta de acceso blindada. Cara interior color blanco. Cara exterior similar a las
 comunitarias. Medidas 2,10 x 0,80 m. - P01</t>
  </si>
  <si>
    <t>Suministro y colocación de puerta batiente en color blanco en habitaciones y baño. Incluye Marco y premarco, herrajes y maneta. Medidas 2,10 x 0,60 m. - P03</t>
  </si>
  <si>
    <t>Instalación de mecanismos en la vivienda. Interruptores, tomacorrientes, pulsador, zumbador, tomas de TV y teléfono Simon Play 27 blancos.</t>
  </si>
  <si>
    <t>Interruptores</t>
  </si>
  <si>
    <t>Tomacorrientes</t>
  </si>
  <si>
    <t>TV</t>
  </si>
  <si>
    <t>RJ11</t>
  </si>
  <si>
    <t>Pulsador</t>
  </si>
  <si>
    <t>Zumbador</t>
  </si>
  <si>
    <t>Luminaría tipo downlight LED circular</t>
  </si>
  <si>
    <t>Luminaría tipo downlight LED rectangular en cocina y galería</t>
  </si>
  <si>
    <t>Luminaría tipo spot LED</t>
  </si>
  <si>
    <t>Luminaría tipo aplique de pared para interior LED.</t>
  </si>
  <si>
    <t>Instalación de puntos de luz, lámparas empotradas y apliques de pared.</t>
  </si>
  <si>
    <t>Suministro y aplicación de pintura Valentine 4000 color según proyecto en muros y techos. Una capa de imprimación y dos de pintura.</t>
  </si>
  <si>
    <t>Suministro y aplicación de pintura Valentine 4000 color blanco en muros de vivienda. Una capa de imprimación y dos de pintura.</t>
  </si>
  <si>
    <t>Suministro y aplicación de pintura Valentine 4000 color blanco en techos de vivienda. Una capa de imprimación y dos de pintura.</t>
  </si>
  <si>
    <t>Suministro y colocación de tabique de placa de yeso y estructura de hierro galvanizado. Placas de 15 mm.</t>
  </si>
  <si>
    <t>Suministro y colocación de cerámica en paredes de cocina y galería en la totalidad de las paredes. (Precio de referencia de la cerámica 25 €/m²).</t>
  </si>
  <si>
    <t>Suministro y colocación de cerámica en paredes de baño en la totalidad de las paredes. (Precio de referencia de la cerámica 25 €/m²).</t>
  </si>
  <si>
    <t>Suministro y colocación de cerámica en el suelo de la cocina y galería. (Precio de referencia de la cerámica 25 €/m²).</t>
  </si>
  <si>
    <t>Suministro y colocación de cerámica en el suelo del baño. (Precio de referencia de la cerámica 25 €/m²).</t>
  </si>
  <si>
    <t>Suministro y colocación de pavimento de parquet laminado AC4 8mm, color roble hacienda gris en zonas secas: recibidor, estar-comedor, dormitorios pasillos.  Incluye lamas de parquet, manta de aislamiento, rodapiés, montakit, tapajuntas y silicona.</t>
  </si>
  <si>
    <t>Retiro de carpinterías de madera y aluminio.</t>
  </si>
  <si>
    <t>Extracción de todas las instalaciones existentes.</t>
  </si>
  <si>
    <t>Extracción de mobiliario de cocina y baño.</t>
  </si>
  <si>
    <t>J</t>
  </si>
  <si>
    <t>CARPINTERÍA DE ALUMINIO</t>
  </si>
  <si>
    <t>CARPINTERÍA DE MADERA</t>
  </si>
  <si>
    <t>K</t>
  </si>
  <si>
    <t>L</t>
  </si>
  <si>
    <t>M</t>
  </si>
  <si>
    <t>LUMINARIAS</t>
  </si>
  <si>
    <t>INSTALACIONES ELÉCTRICAS</t>
  </si>
  <si>
    <t>INSTALACIÓN DE AGUA Y RED SANITARIA</t>
  </si>
  <si>
    <t>P.V.P.</t>
  </si>
  <si>
    <t>M.O.</t>
  </si>
  <si>
    <t>MATERIALES</t>
  </si>
  <si>
    <t>email:</t>
  </si>
  <si>
    <t>Suministro y colocación de plato de obra, incluye desagüe, aislamiento con tela de neopreno y sifón.</t>
  </si>
  <si>
    <t>Suministro e instalación de extractor en baño.</t>
  </si>
  <si>
    <t>Readecuación de desagües, líneas de agua (fría y caliente)  en cocina, baño y lavadero.</t>
  </si>
  <si>
    <t>Suministro y colocación de Columna de ducha Victoria - T de Roca.</t>
  </si>
  <si>
    <t>Suministro de inodoro Roca DAMA N de porcelana con salida a la pared de cerámica en color blanco compuesto por cisterna de doble descarga de 4,5/3 litros, tapa lacada en color blanco e inodoro.</t>
  </si>
  <si>
    <t xml:space="preserve">Suministro de lavamanos, armario y grifo de Ikea ODMORGON EDEBOVIKEN </t>
  </si>
  <si>
    <t>Suministro y colocación de portarollo, toallero y percha de Ikea en baño.</t>
  </si>
  <si>
    <t>Suministro y colocación de BARMHÄRTIG placa vitrocerámica negro 59 cm</t>
  </si>
  <si>
    <t>Suministro y colocación de DOMSJÖ fregadero 1 seno blanco 53x45 cm</t>
  </si>
  <si>
    <t>Suministro y colocación de RINGSKÄR grifo monomando col acinox</t>
  </si>
  <si>
    <t>Suministro y colocación de MOLNIGT extractor de pared acero inoxidable de 80 cm + filtro de carbón + tubo extractor.</t>
  </si>
  <si>
    <t>Cantoneras de acero inoxidable en tabiques de cocina.</t>
  </si>
  <si>
    <t>ml</t>
  </si>
  <si>
    <t>Suministro y colocación de GÖRLIG horno acero inoxidable.</t>
  </si>
  <si>
    <t>9 Radiadores con 60 elementos</t>
  </si>
  <si>
    <t>Suministro y colocación de caldera de condensación estanca mixta de 20.000,00 Kcal. Válvulas y dos circuitos.</t>
  </si>
  <si>
    <t>Radiador toallero en baño.</t>
  </si>
  <si>
    <t>Luminaría tipo tubo LED en armarios bajos de cocina.</t>
  </si>
  <si>
    <t>Preinstalación de unidad de aire acondicionado en salón para equipo de 4000 frigorías. Incluye cableado, tubería de cobre y desagüe. NO incluye equipo de AC.</t>
  </si>
  <si>
    <t>Preinstalación de unidad de aire acondicionado en dormitorio principal para equipo de 2500 frigorías. Incluye cableado, tubería de cobre y desagüe. NO incluye equipo de AC.</t>
  </si>
  <si>
    <r>
      <t xml:space="preserve">El presupuesto </t>
    </r>
    <r>
      <rPr>
        <b/>
        <sz val="16"/>
        <color theme="1"/>
        <rFont val="Futura LT Light"/>
      </rPr>
      <t>NO</t>
    </r>
    <r>
      <rPr>
        <sz val="16"/>
        <color theme="1"/>
        <rFont val="Futura LT Light"/>
      </rPr>
      <t xml:space="preserve"> incluye </t>
    </r>
    <r>
      <rPr>
        <b/>
        <sz val="16"/>
        <color theme="1"/>
        <rFont val="Futura LT Light"/>
      </rPr>
      <t>I.V.A.</t>
    </r>
  </si>
  <si>
    <t>ALBAÑILERÍA / TABIQUERÍA Y TECHOS</t>
  </si>
  <si>
    <t>Alisado de paredes en toda la vivienda.</t>
  </si>
  <si>
    <t>Suministro y colocación de falsos techos con placa de yeso y estructura de hierro galvanizado. Placas de 13 mm. Incluye lana de roca de 8 como aislamiento.</t>
  </si>
  <si>
    <t>Superficie interior (m²):</t>
  </si>
  <si>
    <t>Superficie exterior (m²):</t>
  </si>
  <si>
    <t>SUPERFICIE ÚTIL INTERIOR DE LA VIVIENDA - (m²)</t>
  </si>
  <si>
    <t>Comprobación
M.O. + MAT</t>
  </si>
  <si>
    <t>TOTAL  REFORMA</t>
  </si>
  <si>
    <t>(MANO DE OBRA + MATERIALES) = TOTAL OBRA + TOTAL B.I. = TOTAL REFORMA</t>
  </si>
  <si>
    <t>REFORMA INTEGRAL DE ….</t>
  </si>
  <si>
    <t>0000-0000-ALIAS</t>
  </si>
  <si>
    <t>JUAN PÉREZ</t>
  </si>
  <si>
    <t>CALLE DE LA CASA, 01</t>
  </si>
  <si>
    <t>BARCELONA</t>
  </si>
  <si>
    <t>juan.perez@gmail.com</t>
  </si>
  <si>
    <t>625.625.625</t>
  </si>
  <si>
    <t>ENERO 2050</t>
  </si>
  <si>
    <t xml:space="preserve">Suministro y colocación de armarios de cocina y encimera marca IKEA, según diseño aprobado por la propiedad. </t>
  </si>
  <si>
    <t>Leo Machicao Barrionuevo</t>
  </si>
  <si>
    <t>21750937K</t>
  </si>
  <si>
    <t>EVO Banco</t>
  </si>
  <si>
    <t>EVOBESMMXXX</t>
  </si>
  <si>
    <t>PRECIO ESTIMADO POR METRO CUADRADO DE CONSTRUCCIÓN</t>
  </si>
  <si>
    <t>CONDICIONES Y OBSERVACIONES</t>
  </si>
  <si>
    <t>La valoración de la fabricación e instalación de los armarios de cocina es una estimación que corresponde en cantidad y medidas a la propuesta de diseño presentada.  Será reajustada en función de las necesidades definitivas que plantee la propiedad.</t>
  </si>
  <si>
    <r>
      <t xml:space="preserve">Este presupuesto </t>
    </r>
    <r>
      <rPr>
        <b/>
        <sz val="16"/>
        <color theme="1"/>
        <rFont val="Futura LT Light"/>
      </rPr>
      <t>NO</t>
    </r>
    <r>
      <rPr>
        <sz val="16"/>
        <color theme="1"/>
        <rFont val="Futura LT Light"/>
      </rPr>
      <t xml:space="preserve"> incluye el pago de tasas ni de los gastos correspondientes a trámites, gestiones, pago de Licencias, visados u otras autorizaciones y honorarios que se pudieran requerir por parte de las autoridades, de acuerdo con las condiciones que presente la vivienda.</t>
    </r>
  </si>
  <si>
    <t>Los trabajos darán inicio en fecha a pactar una vez que se haga efectiva la primera provisión de fondos según el calendario de pagos que sea aprobado por ambas partes.</t>
  </si>
  <si>
    <t>Este presupuesto tiene una validez de un mes a partir de la fecha de entrega.  Pasado este plazo, se actualizará de acuerdo con las nuevas cotizaciones de los proveedores.</t>
  </si>
  <si>
    <t>La aprobación/aceptación definitiva del presupuesto se realizará mediante la firma de este documento por ambas partes.</t>
  </si>
  <si>
    <t>La inspección preliminar del estado de la vivienda ha sido superficial y ha consistido en un registro visual y fotográfico de ésta.  Este presupuesto no contempla gastos extras por eventuales vicios ocultos.  En principio, estos serán asumidos por el equipo responsable de la reforma, siempre que tales gastos no superen el 20% del presupuesto de la partida correspondiente.  En tal caso, la propiedad deberá asumir los gastos extras que de ello se deriven.</t>
  </si>
  <si>
    <t>El autor del proyecto llevará un registro fotográfico del proceso de reforma.  Podrá realizar una sesión fotográfica profesional de ésta una vez concluida y con la vivienda ya amueblada.</t>
  </si>
  <si>
    <t>Tanto el autor del proyecto como los propietarios podrán publicar indistintamente la obra concluida en cualquier medio de difusión existente.  El autor del proyecto se compromete a mantener en reserva los datos personales de los propietarios, según exige la ley.  Por su parte, la propiedad se compromete a citar al autor del proyecto cuando promueva la publicación de la reforma.</t>
  </si>
  <si>
    <t>PRESUPUESTO DE OBRA - RESUMEN</t>
  </si>
  <si>
    <t>INSTALACIÓN DE CLIMATIZACIÓN Y GAS</t>
  </si>
  <si>
    <t>Termostatos.</t>
  </si>
  <si>
    <t>Interiorista / Responsable</t>
  </si>
  <si>
    <t>-</t>
  </si>
  <si>
    <t>De acuerdo con los plazos estipulados en el “CALENDARIO DE OBRA Y PAGOS” de este documento.</t>
  </si>
  <si>
    <t>A todos los importes se les añadirá el IVA vigente (21%)</t>
  </si>
  <si>
    <t>Barcelona, 01 de ENERO de 2050</t>
  </si>
  <si>
    <t>DATOS BANCARIOS:</t>
  </si>
  <si>
    <t>CUARENTA Y UN MIL TRESCIENTOS SESENTA Y UN EUROS CON OCHENTA Y CINCO CÉNTIMOS.</t>
  </si>
  <si>
    <t>PRESUPUESTO PACTADO:</t>
  </si>
  <si>
    <t>Los pagos se abonarán mediante talón bancario o transferencia a la presentación de la factura, según los datos siguientes.</t>
  </si>
  <si>
    <t>0239 2062 77 0044490720</t>
  </si>
  <si>
    <t>ES24 0239 2062 7700 4449 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</si>
</sst>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0_ ;\-#,##0.00\ "/>
    <numFmt numFmtId="166" formatCode="_-* #,##0.00\ [$€-C0A]_-;\-* #,##0.00\ [$€-C0A]_-;_-* &quot;-&quot;??\ [$€-C0A]_-;_-@_-"/>
  </numFmts>
  <fonts count="42" x14ac:knownFonts="1">
    <font>
      <sz val="11"/>
      <color theme="1"/>
      <name val="Calibri"/>
      <family val="2"/>
      <scheme val="minor"/>
    </font>
    <font>
      <sz val="11"/>
      <color theme="1"/>
      <name val="Calibri"/>
      <family val="2"/>
      <scheme val="minor"/>
    </font>
    <font>
      <sz val="12"/>
      <color theme="1"/>
      <name val="Futura LT Medium"/>
    </font>
    <font>
      <u/>
      <sz val="12"/>
      <color theme="1"/>
      <name val="Futura LT Light"/>
    </font>
    <font>
      <sz val="12"/>
      <color theme="1"/>
      <name val="Futura LT Light"/>
    </font>
    <font>
      <b/>
      <sz val="26"/>
      <color theme="0"/>
      <name val="Futura LT Light"/>
    </font>
    <font>
      <sz val="12"/>
      <color theme="0"/>
      <name val="Futura LT Light"/>
    </font>
    <font>
      <sz val="10"/>
      <color theme="1"/>
      <name val="Futura LT Light"/>
    </font>
    <font>
      <sz val="11"/>
      <color theme="1"/>
      <name val="Futura LT Light"/>
    </font>
    <font>
      <sz val="12"/>
      <color theme="0"/>
      <name val="Futura LT Medium"/>
    </font>
    <font>
      <sz val="14"/>
      <color theme="1"/>
      <name val="Futura LT Light"/>
    </font>
    <font>
      <b/>
      <sz val="14"/>
      <color theme="1"/>
      <name val="Futura LT Light"/>
    </font>
    <font>
      <sz val="14"/>
      <color theme="0"/>
      <name val="Futura LT Light"/>
    </font>
    <font>
      <b/>
      <sz val="14"/>
      <color theme="0"/>
      <name val="Futura LT Light"/>
    </font>
    <font>
      <u/>
      <sz val="14"/>
      <color theme="1"/>
      <name val="Futura LT Light"/>
    </font>
    <font>
      <b/>
      <sz val="20"/>
      <name val="Futura LT Light"/>
    </font>
    <font>
      <b/>
      <sz val="20"/>
      <color theme="1"/>
      <name val="Futura LT Light"/>
    </font>
    <font>
      <b/>
      <sz val="18"/>
      <color theme="1"/>
      <name val="Futura LT Light"/>
    </font>
    <font>
      <b/>
      <sz val="16"/>
      <name val="Futura LT Light"/>
    </font>
    <font>
      <sz val="16"/>
      <name val="Futura LT Light"/>
    </font>
    <font>
      <b/>
      <sz val="16"/>
      <color theme="1"/>
      <name val="Futura LT Light"/>
    </font>
    <font>
      <sz val="16"/>
      <color theme="1"/>
      <name val="Futura LT Light"/>
    </font>
    <font>
      <b/>
      <sz val="16"/>
      <color theme="0"/>
      <name val="Futura LT Light"/>
    </font>
    <font>
      <sz val="16"/>
      <color theme="0"/>
      <name val="Futura LT Light"/>
    </font>
    <font>
      <b/>
      <sz val="18"/>
      <color theme="0"/>
      <name val="Futura LT Light"/>
    </font>
    <font>
      <sz val="18"/>
      <color theme="0"/>
      <name val="Futura LT Light"/>
    </font>
    <font>
      <b/>
      <sz val="18"/>
      <name val="Futura LT Light"/>
    </font>
    <font>
      <b/>
      <sz val="11"/>
      <color theme="1"/>
      <name val="Futura LT Light"/>
    </font>
    <font>
      <b/>
      <sz val="18"/>
      <color rgb="FFC00000"/>
      <name val="Futura LT Light"/>
    </font>
    <font>
      <sz val="18"/>
      <color theme="1"/>
      <name val="Futura LT Light"/>
    </font>
    <font>
      <sz val="18"/>
      <color theme="1"/>
      <name val="Futura LT Medium"/>
    </font>
    <font>
      <b/>
      <sz val="20"/>
      <color theme="0"/>
      <name val="Futura LT Light"/>
    </font>
    <font>
      <b/>
      <sz val="16"/>
      <color theme="1" tint="0.34998626667073579"/>
      <name val="Futura LT Light"/>
    </font>
    <font>
      <b/>
      <sz val="16"/>
      <color rgb="FFC00000"/>
      <name val="Futura LT Light"/>
    </font>
    <font>
      <sz val="16"/>
      <color theme="1"/>
      <name val="Calibri"/>
      <family val="2"/>
      <scheme val="minor"/>
    </font>
    <font>
      <sz val="16"/>
      <color theme="1"/>
      <name val="Futura LT Medium"/>
    </font>
    <font>
      <b/>
      <i/>
      <sz val="16"/>
      <color theme="4" tint="-0.249977111117893"/>
      <name val="Futura LT Medium"/>
    </font>
    <font>
      <b/>
      <i/>
      <sz val="16"/>
      <color theme="4" tint="-0.249977111117893"/>
      <name val="Futura LT Light"/>
    </font>
    <font>
      <b/>
      <sz val="14"/>
      <name val="Futura LT Light"/>
    </font>
    <font>
      <sz val="14"/>
      <name val="Futura LT Light"/>
    </font>
    <font>
      <b/>
      <sz val="14"/>
      <color theme="1"/>
      <name val="Futura LT Medium"/>
    </font>
    <font>
      <sz val="14"/>
      <color theme="1"/>
      <name val="Futura LT Medium"/>
    </font>
  </fonts>
  <fills count="1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ck">
        <color theme="1" tint="0.34998626667073579"/>
      </left>
      <right/>
      <top style="thick">
        <color theme="1" tint="0.34998626667073579"/>
      </top>
      <bottom style="thick">
        <color theme="1" tint="0.34998626667073579"/>
      </bottom>
      <diagonal/>
    </border>
    <border>
      <left/>
      <right style="thick">
        <color theme="1" tint="0.34998626667073579"/>
      </right>
      <top style="thick">
        <color theme="1" tint="0.34998626667073579"/>
      </top>
      <bottom style="thick">
        <color theme="1" tint="0.34998626667073579"/>
      </bottom>
      <diagonal/>
    </border>
    <border>
      <left style="thick">
        <color theme="1" tint="0.34998626667073579"/>
      </left>
      <right style="thick">
        <color theme="1" tint="0.34998626667073579"/>
      </right>
      <top style="thick">
        <color theme="1" tint="0.34998626667073579"/>
      </top>
      <bottom style="thick">
        <color theme="1" tint="0.34998626667073579"/>
      </bottom>
      <diagonal/>
    </border>
    <border>
      <left style="thick">
        <color theme="1" tint="0.34998626667073579"/>
      </left>
      <right style="thick">
        <color theme="1" tint="0.34998626667073579"/>
      </right>
      <top style="thick">
        <color theme="1" tint="0.34998626667073579"/>
      </top>
      <bottom/>
      <diagonal/>
    </border>
    <border>
      <left style="thick">
        <color theme="1" tint="0.34998626667073579"/>
      </left>
      <right style="thick">
        <color theme="1" tint="0.34998626667073579"/>
      </right>
      <top/>
      <bottom/>
      <diagonal/>
    </border>
    <border>
      <left style="thick">
        <color theme="1" tint="0.34998626667073579"/>
      </left>
      <right style="thick">
        <color theme="1" tint="0.34998626667073579"/>
      </right>
      <top/>
      <bottom style="thick">
        <color theme="1" tint="0.34998626667073579"/>
      </bottom>
      <diagonal/>
    </border>
    <border>
      <left/>
      <right/>
      <top style="thick">
        <color theme="1" tint="0.34998626667073579"/>
      </top>
      <bottom style="thick">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ck">
        <color theme="0" tint="-0.14996795556505021"/>
      </left>
      <right/>
      <top style="thick">
        <color theme="0" tint="-0.14996795556505021"/>
      </top>
      <bottom style="thick">
        <color theme="0" tint="-0.14996795556505021"/>
      </bottom>
      <diagonal/>
    </border>
    <border>
      <left/>
      <right style="thick">
        <color theme="0" tint="-0.14996795556505021"/>
      </right>
      <top style="thick">
        <color theme="0" tint="-0.14996795556505021"/>
      </top>
      <bottom style="thick">
        <color theme="0" tint="-0.14996795556505021"/>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n">
        <color indexed="64"/>
      </left>
      <right style="thin">
        <color indexed="64"/>
      </right>
      <top style="thin">
        <color indexed="64"/>
      </top>
      <bottom/>
      <diagonal/>
    </border>
    <border>
      <left style="thick">
        <color theme="1" tint="0.34998626667073579"/>
      </left>
      <right style="thin">
        <color indexed="64"/>
      </right>
      <top style="thick">
        <color theme="1" tint="0.34998626667073579"/>
      </top>
      <bottom style="thick">
        <color theme="1" tint="0.34998626667073579"/>
      </bottom>
      <diagonal/>
    </border>
    <border>
      <left style="thin">
        <color indexed="64"/>
      </left>
      <right style="thin">
        <color indexed="64"/>
      </right>
      <top style="thick">
        <color theme="1" tint="0.34998626667073579"/>
      </top>
      <bottom style="thick">
        <color theme="1" tint="0.34998626667073579"/>
      </bottom>
      <diagonal/>
    </border>
    <border>
      <left style="thin">
        <color indexed="64"/>
      </left>
      <right style="thick">
        <color theme="1" tint="0.34998626667073579"/>
      </right>
      <top style="thick">
        <color theme="1" tint="0.34998626667073579"/>
      </top>
      <bottom style="thick">
        <color theme="1" tint="0.34998626667073579"/>
      </bottom>
      <diagonal/>
    </border>
    <border>
      <left style="thick">
        <color theme="1" tint="0.34998626667073579"/>
      </left>
      <right style="thin">
        <color indexed="64"/>
      </right>
      <top style="thick">
        <color theme="1" tint="0.34998626667073579"/>
      </top>
      <bottom style="thin">
        <color indexed="64"/>
      </bottom>
      <diagonal/>
    </border>
    <border>
      <left style="thin">
        <color indexed="64"/>
      </left>
      <right style="thin">
        <color indexed="64"/>
      </right>
      <top style="thick">
        <color theme="1" tint="0.34998626667073579"/>
      </top>
      <bottom style="thin">
        <color indexed="64"/>
      </bottom>
      <diagonal/>
    </border>
    <border>
      <left style="thin">
        <color indexed="64"/>
      </left>
      <right style="thick">
        <color theme="1" tint="0.34998626667073579"/>
      </right>
      <top style="thick">
        <color theme="1" tint="0.34998626667073579"/>
      </top>
      <bottom style="thin">
        <color indexed="64"/>
      </bottom>
      <diagonal/>
    </border>
    <border>
      <left style="thick">
        <color theme="1" tint="0.34998626667073579"/>
      </left>
      <right style="thin">
        <color indexed="64"/>
      </right>
      <top style="thin">
        <color indexed="64"/>
      </top>
      <bottom style="thin">
        <color indexed="64"/>
      </bottom>
      <diagonal/>
    </border>
    <border>
      <left style="thin">
        <color indexed="64"/>
      </left>
      <right style="thick">
        <color theme="1" tint="0.34998626667073579"/>
      </right>
      <top style="thin">
        <color indexed="64"/>
      </top>
      <bottom style="thin">
        <color indexed="64"/>
      </bottom>
      <diagonal/>
    </border>
    <border>
      <left style="thick">
        <color theme="1" tint="0.34998626667073579"/>
      </left>
      <right style="thin">
        <color indexed="64"/>
      </right>
      <top style="thin">
        <color indexed="64"/>
      </top>
      <bottom style="thick">
        <color theme="1" tint="0.34998626667073579"/>
      </bottom>
      <diagonal/>
    </border>
    <border>
      <left style="thin">
        <color indexed="64"/>
      </left>
      <right style="thin">
        <color indexed="64"/>
      </right>
      <top style="thin">
        <color indexed="64"/>
      </top>
      <bottom style="thick">
        <color theme="1" tint="0.34998626667073579"/>
      </bottom>
      <diagonal/>
    </border>
    <border>
      <left style="thin">
        <color indexed="64"/>
      </left>
      <right style="thick">
        <color theme="1" tint="0.34998626667073579"/>
      </right>
      <top style="thin">
        <color indexed="64"/>
      </top>
      <bottom style="thick">
        <color theme="1" tint="0.34998626667073579"/>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top style="thick">
        <color theme="0" tint="-0.14996795556505021"/>
      </top>
      <bottom style="thick">
        <color theme="0" tint="-0.1499679555650502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5">
    <xf numFmtId="0" fontId="0" fillId="0" borderId="0" xfId="0"/>
    <xf numFmtId="0" fontId="2" fillId="0" borderId="0" xfId="0" applyFont="1"/>
    <xf numFmtId="0" fontId="2" fillId="0" borderId="0" xfId="0" applyFont="1" applyFill="1"/>
    <xf numFmtId="0" fontId="3" fillId="0" borderId="0" xfId="0" applyFont="1"/>
    <xf numFmtId="0" fontId="4" fillId="3" borderId="0" xfId="0" applyFont="1" applyFill="1"/>
    <xf numFmtId="0" fontId="4" fillId="0" borderId="0" xfId="0" applyFont="1"/>
    <xf numFmtId="0" fontId="4" fillId="3" borderId="0" xfId="0" applyFont="1" applyFill="1" applyAlignment="1">
      <alignment horizontal="left" vertical="center"/>
    </xf>
    <xf numFmtId="0" fontId="4" fillId="3" borderId="0" xfId="0" applyFont="1" applyFill="1" applyBorder="1"/>
    <xf numFmtId="0" fontId="7" fillId="3" borderId="0" xfId="0" applyFont="1" applyFill="1" applyAlignment="1">
      <alignment horizontal="center"/>
    </xf>
    <xf numFmtId="0" fontId="4" fillId="3" borderId="0" xfId="0" applyFont="1" applyFill="1" applyAlignment="1">
      <alignment horizontal="center" vertical="center"/>
    </xf>
    <xf numFmtId="0" fontId="8" fillId="3" borderId="0" xfId="0" applyFont="1" applyFill="1"/>
    <xf numFmtId="44" fontId="8" fillId="3" borderId="0" xfId="0" applyNumberFormat="1" applyFont="1" applyFill="1"/>
    <xf numFmtId="0" fontId="8" fillId="0" borderId="0" xfId="0" applyFont="1"/>
    <xf numFmtId="0" fontId="2" fillId="3" borderId="3" xfId="0" applyFont="1" applyFill="1" applyBorder="1"/>
    <xf numFmtId="0" fontId="2" fillId="3" borderId="4" xfId="0" applyFont="1" applyFill="1" applyBorder="1"/>
    <xf numFmtId="0" fontId="10" fillId="3" borderId="0" xfId="0" applyFont="1" applyFill="1"/>
    <xf numFmtId="0" fontId="10" fillId="0" borderId="0" xfId="0" applyFont="1"/>
    <xf numFmtId="0" fontId="10" fillId="3" borderId="0" xfId="0" applyFont="1" applyFill="1" applyBorder="1"/>
    <xf numFmtId="0" fontId="10" fillId="3" borderId="0" xfId="0" applyFont="1" applyFill="1" applyAlignment="1">
      <alignment horizontal="left" vertical="center"/>
    </xf>
    <xf numFmtId="0" fontId="14" fillId="0" borderId="0" xfId="0" applyFont="1"/>
    <xf numFmtId="0" fontId="11" fillId="3" borderId="0" xfId="0" applyFont="1" applyFill="1"/>
    <xf numFmtId="0" fontId="10" fillId="3" borderId="0" xfId="0" applyFont="1" applyFill="1" applyAlignment="1">
      <alignment horizontal="center" vertical="center"/>
    </xf>
    <xf numFmtId="1"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65" fontId="10" fillId="0" borderId="1" xfId="1"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0" xfId="0" applyFont="1" applyFill="1"/>
    <xf numFmtId="0" fontId="10" fillId="0" borderId="1" xfId="0" applyFont="1" applyBorder="1" applyAlignment="1">
      <alignment vertical="center" wrapText="1"/>
    </xf>
    <xf numFmtId="0" fontId="4" fillId="3" borderId="0" xfId="0" applyFont="1" applyFill="1" applyAlignment="1">
      <alignment horizontal="left" vertical="center" wrapText="1"/>
    </xf>
    <xf numFmtId="0" fontId="2" fillId="3" borderId="0" xfId="0" applyFont="1" applyFill="1"/>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0" fillId="0" borderId="0" xfId="0" applyFill="1"/>
    <xf numFmtId="0" fontId="8" fillId="3" borderId="0" xfId="0" applyFont="1" applyFill="1" applyAlignment="1"/>
    <xf numFmtId="0" fontId="11" fillId="3" borderId="0" xfId="0" applyFont="1" applyFill="1" applyBorder="1" applyAlignment="1">
      <alignment vertical="center"/>
    </xf>
    <xf numFmtId="0" fontId="8" fillId="3" borderId="0" xfId="0" applyFont="1" applyFill="1" applyBorder="1"/>
    <xf numFmtId="44" fontId="8" fillId="3" borderId="0" xfId="0" applyNumberFormat="1" applyFont="1" applyFill="1" applyBorder="1"/>
    <xf numFmtId="0" fontId="12" fillId="3" borderId="0" xfId="0" applyFont="1" applyFill="1" applyBorder="1" applyAlignment="1">
      <alignment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xf>
    <xf numFmtId="164" fontId="2" fillId="0" borderId="0" xfId="0" applyNumberFormat="1" applyFont="1" applyFill="1"/>
    <xf numFmtId="0" fontId="10" fillId="3" borderId="0" xfId="0" applyFont="1" applyFill="1" applyBorder="1" applyAlignment="1">
      <alignment vertical="center" wrapText="1"/>
    </xf>
    <xf numFmtId="0" fontId="1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vertical="center" wrapText="1"/>
    </xf>
    <xf numFmtId="0" fontId="4" fillId="3" borderId="0" xfId="0" applyFont="1" applyFill="1" applyBorder="1" applyAlignment="1">
      <alignment horizontal="center" vertical="center"/>
    </xf>
    <xf numFmtId="44" fontId="2" fillId="0" borderId="0" xfId="0" applyNumberFormat="1" applyFont="1" applyFill="1"/>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wrapText="1"/>
    </xf>
    <xf numFmtId="49" fontId="10" fillId="3" borderId="0" xfId="0" applyNumberFormat="1" applyFont="1" applyFill="1" applyBorder="1" applyAlignment="1">
      <alignment vertical="top" wrapText="1"/>
    </xf>
    <xf numFmtId="49" fontId="10" fillId="3" borderId="0" xfId="0" applyNumberFormat="1" applyFont="1" applyFill="1" applyBorder="1" applyAlignment="1">
      <alignment vertical="center" wrapText="1"/>
    </xf>
    <xf numFmtId="0" fontId="18" fillId="3" borderId="0" xfId="0" applyFont="1" applyFill="1" applyBorder="1" applyAlignment="1">
      <alignment vertical="center" wrapText="1"/>
    </xf>
    <xf numFmtId="0" fontId="4" fillId="3" borderId="15" xfId="0" applyFont="1" applyFill="1" applyBorder="1" applyAlignment="1">
      <alignment vertical="center" wrapText="1"/>
    </xf>
    <xf numFmtId="0" fontId="13" fillId="3" borderId="0" xfId="0" applyFont="1" applyFill="1" applyBorder="1" applyAlignment="1">
      <alignment vertical="center"/>
    </xf>
    <xf numFmtId="0" fontId="8" fillId="3" borderId="2" xfId="0" applyFont="1" applyFill="1" applyBorder="1"/>
    <xf numFmtId="2" fontId="8" fillId="3" borderId="11" xfId="2" applyNumberFormat="1" applyFont="1" applyFill="1" applyBorder="1"/>
    <xf numFmtId="0" fontId="8" fillId="3" borderId="3" xfId="0" applyFont="1" applyFill="1" applyBorder="1"/>
    <xf numFmtId="2" fontId="8" fillId="3" borderId="4" xfId="2" applyNumberFormat="1" applyFont="1" applyFill="1" applyBorder="1"/>
    <xf numFmtId="0" fontId="8" fillId="0" borderId="7" xfId="0" applyFont="1" applyBorder="1"/>
    <xf numFmtId="0" fontId="8" fillId="0" borderId="7" xfId="0" quotePrefix="1" applyFont="1" applyBorder="1"/>
    <xf numFmtId="0" fontId="8" fillId="0" borderId="7" xfId="0" applyFont="1" applyBorder="1" applyAlignment="1">
      <alignment wrapText="1"/>
    </xf>
    <xf numFmtId="17" fontId="8" fillId="0" borderId="7" xfId="0" quotePrefix="1" applyNumberFormat="1" applyFont="1" applyBorder="1" applyAlignment="1">
      <alignment horizontal="left"/>
    </xf>
    <xf numFmtId="0" fontId="8" fillId="0" borderId="1" xfId="0" applyFont="1" applyBorder="1" applyAlignment="1">
      <alignment horizontal="left" vertical="top"/>
    </xf>
    <xf numFmtId="0" fontId="8" fillId="0" borderId="1" xfId="0" applyFont="1" applyBorder="1" applyAlignment="1">
      <alignment horizontal="left" vertical="center"/>
    </xf>
    <xf numFmtId="44" fontId="2" fillId="3" borderId="0" xfId="0" applyNumberFormat="1" applyFont="1" applyFill="1"/>
    <xf numFmtId="0" fontId="0" fillId="3" borderId="0" xfId="0" applyFill="1"/>
    <xf numFmtId="0" fontId="13" fillId="2" borderId="23" xfId="0" applyFont="1" applyFill="1" applyBorder="1" applyAlignment="1">
      <alignment horizontal="center" vertical="center"/>
    </xf>
    <xf numFmtId="0" fontId="21" fillId="3" borderId="14" xfId="0" applyFont="1" applyFill="1" applyBorder="1" applyAlignment="1">
      <alignment vertical="center" wrapText="1"/>
    </xf>
    <xf numFmtId="10" fontId="21" fillId="3" borderId="1" xfId="2" applyNumberFormat="1" applyFont="1" applyFill="1" applyBorder="1"/>
    <xf numFmtId="0" fontId="22" fillId="2" borderId="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7" xfId="0" applyFont="1" applyFill="1" applyBorder="1" applyAlignment="1">
      <alignment horizontal="center" vertical="center"/>
    </xf>
    <xf numFmtId="0" fontId="23" fillId="3" borderId="14" xfId="0" applyFont="1" applyFill="1" applyBorder="1" applyAlignment="1"/>
    <xf numFmtId="0" fontId="22" fillId="2" borderId="1" xfId="0" applyFont="1" applyFill="1" applyBorder="1" applyAlignment="1">
      <alignment horizontal="center" vertical="center"/>
    </xf>
    <xf numFmtId="44" fontId="21" fillId="3" borderId="1" xfId="0" applyNumberFormat="1" applyFont="1" applyFill="1" applyBorder="1"/>
    <xf numFmtId="164" fontId="21" fillId="3" borderId="1" xfId="0" applyNumberFormat="1" applyFont="1" applyFill="1" applyBorder="1"/>
    <xf numFmtId="0" fontId="2" fillId="3" borderId="0" xfId="0" applyFont="1" applyFill="1" applyBorder="1"/>
    <xf numFmtId="44" fontId="2" fillId="3" borderId="0" xfId="0" applyNumberFormat="1" applyFont="1" applyFill="1" applyBorder="1"/>
    <xf numFmtId="164" fontId="9" fillId="3" borderId="0" xfId="0" applyNumberFormat="1" applyFont="1" applyFill="1" applyBorder="1"/>
    <xf numFmtId="0" fontId="2" fillId="0" borderId="0" xfId="0" applyFont="1" applyBorder="1"/>
    <xf numFmtId="0" fontId="13" fillId="2" borderId="24" xfId="0" applyFont="1" applyFill="1" applyBorder="1" applyAlignment="1"/>
    <xf numFmtId="0" fontId="22" fillId="3" borderId="0" xfId="0" applyFont="1" applyFill="1" applyBorder="1" applyAlignment="1">
      <alignment horizontal="center" vertical="center" wrapText="1"/>
    </xf>
    <xf numFmtId="0" fontId="8" fillId="3" borderId="9" xfId="0" applyFont="1" applyFill="1" applyBorder="1" applyAlignment="1">
      <alignment horizontal="left" vertical="center"/>
    </xf>
    <xf numFmtId="17" fontId="8" fillId="3" borderId="9" xfId="0" quotePrefix="1" applyNumberFormat="1" applyFont="1" applyFill="1" applyBorder="1" applyAlignment="1">
      <alignment horizontal="left"/>
    </xf>
    <xf numFmtId="0" fontId="8" fillId="9" borderId="3" xfId="0" applyFont="1" applyFill="1" applyBorder="1"/>
    <xf numFmtId="2" fontId="8" fillId="9" borderId="4" xfId="2" applyNumberFormat="1" applyFont="1" applyFill="1" applyBorder="1"/>
    <xf numFmtId="0" fontId="8" fillId="9" borderId="5" xfId="0" applyFont="1" applyFill="1" applyBorder="1"/>
    <xf numFmtId="2" fontId="8" fillId="9" borderId="12" xfId="2" applyNumberFormat="1" applyFont="1" applyFill="1" applyBorder="1"/>
    <xf numFmtId="0" fontId="20" fillId="3" borderId="1" xfId="0" applyFont="1" applyFill="1" applyBorder="1" applyAlignment="1">
      <alignment horizontal="center" vertical="center"/>
    </xf>
    <xf numFmtId="0" fontId="10" fillId="3" borderId="0" xfId="0" applyFont="1" applyFill="1" applyBorder="1" applyAlignment="1">
      <alignment vertical="center"/>
    </xf>
    <xf numFmtId="14" fontId="20" fillId="3" borderId="6" xfId="0" applyNumberFormat="1" applyFont="1" applyFill="1" applyBorder="1" applyAlignment="1">
      <alignment horizontal="center" vertical="center"/>
    </xf>
    <xf numFmtId="0" fontId="20" fillId="3" borderId="6" xfId="0" applyFont="1" applyFill="1" applyBorder="1" applyAlignment="1">
      <alignment horizontal="left" vertical="center" wrapText="1"/>
    </xf>
    <xf numFmtId="10" fontId="20" fillId="3" borderId="1" xfId="2" applyNumberFormat="1" applyFont="1" applyFill="1" applyBorder="1" applyAlignment="1">
      <alignment horizontal="right" vertical="center"/>
    </xf>
    <xf numFmtId="44" fontId="20" fillId="3" borderId="1" xfId="1" applyFont="1" applyFill="1" applyBorder="1" applyAlignment="1">
      <alignment horizontal="right" vertical="center"/>
    </xf>
    <xf numFmtId="0" fontId="29" fillId="3" borderId="0" xfId="0" applyFont="1" applyFill="1" applyAlignment="1">
      <alignment vertical="center"/>
    </xf>
    <xf numFmtId="0" fontId="25" fillId="2" borderId="6" xfId="0" applyFont="1" applyFill="1" applyBorder="1" applyAlignment="1">
      <alignment horizontal="center" vertical="center"/>
    </xf>
    <xf numFmtId="0" fontId="25" fillId="2" borderId="9" xfId="0" applyFont="1" applyFill="1" applyBorder="1" applyAlignment="1">
      <alignment horizontal="center" vertical="center"/>
    </xf>
    <xf numFmtId="0" fontId="24" fillId="2" borderId="7" xfId="0" applyFont="1" applyFill="1" applyBorder="1" applyAlignment="1">
      <alignment horizontal="right" vertical="center" wrapText="1"/>
    </xf>
    <xf numFmtId="0" fontId="24" fillId="3" borderId="14" xfId="0" applyFont="1" applyFill="1" applyBorder="1" applyAlignment="1">
      <alignment vertical="center" wrapText="1"/>
    </xf>
    <xf numFmtId="10" fontId="24" fillId="2" borderId="6" xfId="0" applyNumberFormat="1" applyFont="1" applyFill="1" applyBorder="1" applyAlignment="1">
      <alignment vertical="center" wrapText="1"/>
    </xf>
    <xf numFmtId="44" fontId="24" fillId="2" borderId="7" xfId="1" applyFont="1" applyFill="1" applyBorder="1" applyAlignment="1">
      <alignment horizontal="center" vertical="center"/>
    </xf>
    <xf numFmtId="0" fontId="30" fillId="3" borderId="0" xfId="0" applyFont="1" applyFill="1" applyBorder="1" applyAlignment="1">
      <alignment vertical="center"/>
    </xf>
    <xf numFmtId="0" fontId="30" fillId="0" borderId="0" xfId="0" applyFont="1" applyBorder="1" applyAlignment="1">
      <alignment vertical="center"/>
    </xf>
    <xf numFmtId="0" fontId="30" fillId="0" borderId="0" xfId="0" applyFont="1" applyAlignment="1">
      <alignment vertical="center"/>
    </xf>
    <xf numFmtId="0" fontId="10" fillId="3" borderId="0" xfId="0" applyFont="1" applyFill="1" applyBorder="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1" fillId="3" borderId="0" xfId="0" applyFont="1" applyFill="1"/>
    <xf numFmtId="165" fontId="21" fillId="0" borderId="1" xfId="1" applyNumberFormat="1" applyFont="1" applyFill="1" applyBorder="1" applyAlignment="1">
      <alignment horizontal="right"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right" vertical="center" wrapText="1"/>
    </xf>
    <xf numFmtId="1" fontId="21"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0" fillId="3" borderId="0" xfId="0" applyFont="1" applyFill="1" applyBorder="1" applyAlignment="1"/>
    <xf numFmtId="0" fontId="3" fillId="3" borderId="0" xfId="0" applyFont="1" applyFill="1"/>
    <xf numFmtId="0" fontId="28" fillId="3" borderId="0" xfId="0" applyFont="1" applyFill="1" applyBorder="1" applyAlignment="1">
      <alignment vertical="center" textRotation="90"/>
    </xf>
    <xf numFmtId="165" fontId="11" fillId="3" borderId="0" xfId="0" applyNumberFormat="1" applyFont="1" applyFill="1" applyBorder="1" applyAlignment="1">
      <alignment horizontal="right" vertical="center"/>
    </xf>
    <xf numFmtId="44" fontId="11" fillId="3" borderId="0" xfId="0" applyNumberFormat="1" applyFont="1" applyFill="1" applyBorder="1" applyAlignment="1">
      <alignment horizontal="right" vertical="center"/>
    </xf>
    <xf numFmtId="166" fontId="4" fillId="0" borderId="0" xfId="0" applyNumberFormat="1" applyFont="1"/>
    <xf numFmtId="0" fontId="21" fillId="0" borderId="1" xfId="0" applyFont="1" applyFill="1" applyBorder="1" applyAlignment="1">
      <alignment vertical="center" wrapText="1"/>
    </xf>
    <xf numFmtId="0" fontId="21" fillId="3" borderId="1" xfId="0" applyFont="1" applyFill="1" applyBorder="1" applyAlignment="1">
      <alignment horizontal="center" vertical="center" wrapText="1"/>
    </xf>
    <xf numFmtId="166" fontId="21" fillId="0" borderId="1" xfId="1" applyNumberFormat="1" applyFont="1" applyFill="1" applyBorder="1" applyAlignment="1">
      <alignment horizontal="right" vertical="center"/>
    </xf>
    <xf numFmtId="166" fontId="21" fillId="3" borderId="1" xfId="0" applyNumberFormat="1" applyFont="1" applyFill="1" applyBorder="1" applyAlignment="1">
      <alignment vertical="center"/>
    </xf>
    <xf numFmtId="166" fontId="20" fillId="0" borderId="1" xfId="0" applyNumberFormat="1" applyFont="1" applyFill="1" applyBorder="1" applyAlignment="1">
      <alignment vertical="center"/>
    </xf>
    <xf numFmtId="166" fontId="20" fillId="3" borderId="14" xfId="0" applyNumberFormat="1" applyFont="1" applyFill="1" applyBorder="1" applyAlignment="1">
      <alignment vertical="center"/>
    </xf>
    <xf numFmtId="164" fontId="21" fillId="0" borderId="1" xfId="0" applyNumberFormat="1" applyFont="1" applyBorder="1" applyAlignment="1">
      <alignment horizontal="right" vertical="center"/>
    </xf>
    <xf numFmtId="166" fontId="21" fillId="3" borderId="13" xfId="0" applyNumberFormat="1" applyFont="1" applyFill="1" applyBorder="1" applyAlignment="1">
      <alignment horizontal="center" vertical="center"/>
    </xf>
    <xf numFmtId="166" fontId="21" fillId="3" borderId="13" xfId="0" applyNumberFormat="1" applyFont="1" applyFill="1" applyBorder="1" applyAlignment="1">
      <alignment vertical="center"/>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right" vertical="center" wrapText="1"/>
    </xf>
    <xf numFmtId="0" fontId="21" fillId="3" borderId="0" xfId="0" applyFont="1" applyFill="1" applyAlignment="1">
      <alignment horizontal="left" vertical="center"/>
    </xf>
    <xf numFmtId="0" fontId="21" fillId="0" borderId="0" xfId="0" applyFont="1"/>
    <xf numFmtId="0" fontId="20" fillId="3" borderId="0" xfId="0" applyFont="1" applyFill="1"/>
    <xf numFmtId="0" fontId="20" fillId="3" borderId="0" xfId="0" applyFont="1" applyFill="1" applyBorder="1" applyAlignment="1">
      <alignment horizontal="center" vertical="center"/>
    </xf>
    <xf numFmtId="0" fontId="21" fillId="3" borderId="0" xfId="0" applyFont="1" applyFill="1" applyBorder="1"/>
    <xf numFmtId="166" fontId="21" fillId="3" borderId="0" xfId="0" applyNumberFormat="1" applyFont="1" applyFill="1"/>
    <xf numFmtId="0" fontId="21" fillId="0" borderId="0" xfId="0" applyFont="1" applyAlignment="1">
      <alignment vertical="center"/>
    </xf>
    <xf numFmtId="0" fontId="21" fillId="3" borderId="0" xfId="0" applyFont="1" applyFill="1" applyBorder="1" applyAlignment="1">
      <alignment vertical="center"/>
    </xf>
    <xf numFmtId="164" fontId="21" fillId="0" borderId="0" xfId="0" applyNumberFormat="1" applyFont="1" applyAlignment="1">
      <alignment horizontal="right" vertical="center"/>
    </xf>
    <xf numFmtId="164" fontId="21" fillId="3" borderId="0" xfId="0" applyNumberFormat="1" applyFont="1" applyFill="1" applyAlignment="1">
      <alignment horizontal="right" vertical="center"/>
    </xf>
    <xf numFmtId="44" fontId="22" fillId="2" borderId="18" xfId="1" applyFont="1" applyFill="1" applyBorder="1" applyAlignment="1">
      <alignment horizontal="right" vertical="center"/>
    </xf>
    <xf numFmtId="166" fontId="22" fillId="2" borderId="18" xfId="0" applyNumberFormat="1" applyFont="1" applyFill="1" applyBorder="1" applyAlignment="1">
      <alignment horizontal="right" vertical="center"/>
    </xf>
    <xf numFmtId="166" fontId="20" fillId="0" borderId="18" xfId="0" applyNumberFormat="1" applyFont="1" applyBorder="1" applyAlignment="1">
      <alignment vertical="center"/>
    </xf>
    <xf numFmtId="166" fontId="21" fillId="3" borderId="0" xfId="0" applyNumberFormat="1" applyFont="1" applyFill="1" applyBorder="1" applyAlignment="1">
      <alignment vertical="center"/>
    </xf>
    <xf numFmtId="166" fontId="21" fillId="3" borderId="3" xfId="0" applyNumberFormat="1" applyFont="1" applyFill="1" applyBorder="1" applyAlignment="1">
      <alignment vertical="center"/>
    </xf>
    <xf numFmtId="164" fontId="22" fillId="2" borderId="18" xfId="0" applyNumberFormat="1" applyFont="1" applyFill="1" applyBorder="1" applyAlignment="1">
      <alignment horizontal="right" vertical="center"/>
    </xf>
    <xf numFmtId="0" fontId="21" fillId="0" borderId="6" xfId="0" applyFont="1" applyBorder="1" applyAlignment="1">
      <alignment horizontal="left" vertical="center" wrapText="1"/>
    </xf>
    <xf numFmtId="166" fontId="21" fillId="0" borderId="1" xfId="0" applyNumberFormat="1" applyFont="1" applyFill="1" applyBorder="1" applyAlignment="1">
      <alignment vertical="center"/>
    </xf>
    <xf numFmtId="0" fontId="21" fillId="0" borderId="6" xfId="0" applyFont="1" applyFill="1" applyBorder="1" applyAlignment="1">
      <alignment horizontal="left" vertical="center" wrapText="1"/>
    </xf>
    <xf numFmtId="0" fontId="21" fillId="3" borderId="0" xfId="0" applyFont="1" applyFill="1" applyAlignment="1">
      <alignment vertical="center"/>
    </xf>
    <xf numFmtId="0" fontId="21" fillId="0" borderId="6" xfId="0" applyFont="1" applyFill="1" applyBorder="1" applyAlignment="1">
      <alignment vertical="center" wrapText="1"/>
    </xf>
    <xf numFmtId="0" fontId="21" fillId="0" borderId="6" xfId="0" applyFont="1" applyBorder="1" applyAlignment="1">
      <alignment vertical="center" wrapText="1"/>
    </xf>
    <xf numFmtId="1" fontId="21" fillId="3" borderId="1" xfId="0" applyNumberFormat="1" applyFont="1" applyFill="1" applyBorder="1" applyAlignment="1">
      <alignment horizontal="center" vertical="center"/>
    </xf>
    <xf numFmtId="0" fontId="21" fillId="3" borderId="6" xfId="0" applyFont="1" applyFill="1" applyBorder="1" applyAlignment="1">
      <alignment vertical="center" wrapText="1"/>
    </xf>
    <xf numFmtId="165" fontId="21" fillId="3" borderId="1" xfId="1" applyNumberFormat="1" applyFont="1" applyFill="1" applyBorder="1" applyAlignment="1">
      <alignment horizontal="right" vertical="center"/>
    </xf>
    <xf numFmtId="0" fontId="20" fillId="0" borderId="0" xfId="0" applyFont="1"/>
    <xf numFmtId="0" fontId="21" fillId="0" borderId="1" xfId="0" applyFont="1" applyBorder="1" applyAlignment="1">
      <alignment horizontal="left" vertical="center" wrapText="1"/>
    </xf>
    <xf numFmtId="0" fontId="21" fillId="0" borderId="0" xfId="0" applyFont="1" applyFill="1"/>
    <xf numFmtId="0" fontId="21" fillId="3" borderId="1" xfId="0" applyFont="1" applyFill="1" applyBorder="1" applyAlignment="1">
      <alignment vertical="center" wrapText="1"/>
    </xf>
    <xf numFmtId="166" fontId="21" fillId="3" borderId="1" xfId="1" applyNumberFormat="1" applyFont="1" applyFill="1" applyBorder="1" applyAlignment="1">
      <alignment horizontal="right" vertical="center"/>
    </xf>
    <xf numFmtId="44" fontId="22" fillId="2" borderId="23" xfId="1" applyFont="1" applyFill="1" applyBorder="1" applyAlignment="1">
      <alignment horizontal="right" vertical="center"/>
    </xf>
    <xf numFmtId="0" fontId="21" fillId="0" borderId="0" xfId="0" applyFont="1" applyFill="1" applyBorder="1"/>
    <xf numFmtId="0" fontId="9" fillId="3" borderId="0" xfId="0" applyFont="1" applyFill="1"/>
    <xf numFmtId="0" fontId="20" fillId="3" borderId="0" xfId="0" applyFont="1" applyFill="1" applyBorder="1" applyAlignment="1">
      <alignment vertical="center"/>
    </xf>
    <xf numFmtId="0" fontId="33" fillId="3" borderId="0" xfId="0" applyFont="1" applyFill="1" applyBorder="1" applyAlignment="1">
      <alignment vertical="center" textRotation="90"/>
    </xf>
    <xf numFmtId="44" fontId="21" fillId="3" borderId="0" xfId="0" applyNumberFormat="1" applyFont="1" applyFill="1"/>
    <xf numFmtId="0" fontId="34" fillId="3" borderId="0" xfId="0" applyFont="1" applyFill="1"/>
    <xf numFmtId="0" fontId="35" fillId="3" borderId="0" xfId="0" applyFont="1" applyFill="1"/>
    <xf numFmtId="44" fontId="21" fillId="0" borderId="1" xfId="1" applyFont="1" applyBorder="1" applyAlignment="1">
      <alignment horizontal="center" vertical="center"/>
    </xf>
    <xf numFmtId="44" fontId="21" fillId="0" borderId="1" xfId="1" applyFont="1" applyFill="1" applyBorder="1" applyAlignment="1">
      <alignment horizontal="center" vertical="center"/>
    </xf>
    <xf numFmtId="44" fontId="22" fillId="2" borderId="18" xfId="1" applyFont="1" applyFill="1" applyBorder="1" applyAlignment="1">
      <alignment horizontal="center"/>
    </xf>
    <xf numFmtId="0" fontId="36" fillId="3" borderId="0" xfId="0" applyFont="1" applyFill="1"/>
    <xf numFmtId="44" fontId="36" fillId="3" borderId="0" xfId="0" applyNumberFormat="1" applyFont="1" applyFill="1"/>
    <xf numFmtId="44" fontId="20" fillId="0" borderId="1" xfId="1" applyFont="1" applyBorder="1" applyAlignment="1">
      <alignment horizontal="center" vertical="center"/>
    </xf>
    <xf numFmtId="44" fontId="20" fillId="0" borderId="1" xfId="1" applyFont="1" applyFill="1" applyBorder="1" applyAlignment="1">
      <alignment horizontal="center" vertical="center"/>
    </xf>
    <xf numFmtId="0" fontId="17" fillId="0" borderId="1" xfId="0" applyFont="1" applyBorder="1" applyAlignment="1">
      <alignment horizontal="center" vertical="center"/>
    </xf>
    <xf numFmtId="44" fontId="18" fillId="4" borderId="37" xfId="1" applyFont="1" applyFill="1" applyBorder="1" applyAlignment="1">
      <alignment horizontal="center"/>
    </xf>
    <xf numFmtId="165" fontId="18" fillId="4" borderId="37" xfId="1" applyNumberFormat="1" applyFont="1" applyFill="1" applyBorder="1" applyAlignment="1">
      <alignment horizontal="right"/>
    </xf>
    <xf numFmtId="0" fontId="22" fillId="11" borderId="62" xfId="0" applyFont="1" applyFill="1" applyBorder="1" applyAlignment="1">
      <alignment horizontal="center" vertical="center"/>
    </xf>
    <xf numFmtId="0" fontId="18" fillId="11" borderId="65" xfId="0" applyFont="1" applyFill="1" applyBorder="1" applyAlignment="1">
      <alignment horizontal="center" vertical="center"/>
    </xf>
    <xf numFmtId="0" fontId="18" fillId="3" borderId="0" xfId="0" applyFont="1" applyFill="1"/>
    <xf numFmtId="0" fontId="18" fillId="11" borderId="62" xfId="0" applyFont="1" applyFill="1" applyBorder="1" applyAlignment="1">
      <alignment horizontal="center" vertical="center"/>
    </xf>
    <xf numFmtId="166" fontId="37" fillId="3" borderId="66" xfId="0" applyNumberFormat="1" applyFont="1" applyFill="1" applyBorder="1"/>
    <xf numFmtId="0" fontId="17" fillId="12" borderId="1" xfId="0" applyFont="1" applyFill="1" applyBorder="1" applyAlignment="1">
      <alignment horizontal="center" vertical="center"/>
    </xf>
    <xf numFmtId="44" fontId="20" fillId="12" borderId="1" xfId="1" applyFont="1" applyFill="1" applyBorder="1" applyAlignment="1">
      <alignment horizontal="center" vertical="center"/>
    </xf>
    <xf numFmtId="44" fontId="21" fillId="12" borderId="1" xfId="1" applyFont="1" applyFill="1" applyBorder="1" applyAlignment="1">
      <alignment horizontal="center" vertical="center"/>
    </xf>
    <xf numFmtId="0" fontId="20" fillId="3" borderId="0" xfId="0" applyFont="1" applyFill="1" applyBorder="1" applyAlignment="1">
      <alignment horizontal="left" vertical="center"/>
    </xf>
    <xf numFmtId="0" fontId="18" fillId="3" borderId="0" xfId="0" applyFont="1" applyFill="1" applyBorder="1" applyAlignment="1">
      <alignment horizontal="left" vertical="center" wrapText="1"/>
    </xf>
    <xf numFmtId="0" fontId="10" fillId="3" borderId="8" xfId="0" applyFont="1" applyFill="1" applyBorder="1" applyAlignment="1">
      <alignment horizontal="center" vertical="center" wrapText="1"/>
    </xf>
    <xf numFmtId="49" fontId="10" fillId="3" borderId="0" xfId="0" applyNumberFormat="1" applyFont="1" applyFill="1" applyBorder="1" applyAlignment="1">
      <alignment horizontal="right" vertical="top" wrapText="1"/>
    </xf>
    <xf numFmtId="0" fontId="39" fillId="3" borderId="0" xfId="0" applyFont="1" applyFill="1"/>
    <xf numFmtId="0" fontId="38" fillId="3" borderId="0" xfId="0" applyFont="1" applyFill="1" applyAlignment="1">
      <alignment horizontal="right" vertical="center"/>
    </xf>
    <xf numFmtId="0" fontId="39" fillId="3" borderId="0" xfId="0" applyFont="1" applyFill="1" applyAlignment="1">
      <alignment horizontal="left"/>
    </xf>
    <xf numFmtId="164" fontId="18" fillId="3" borderId="0" xfId="0" applyNumberFormat="1" applyFont="1" applyFill="1" applyBorder="1" applyAlignment="1">
      <alignment vertical="center" wrapText="1"/>
    </xf>
    <xf numFmtId="0" fontId="38" fillId="3" borderId="0" xfId="0" applyFont="1" applyFill="1" applyBorder="1" applyAlignment="1">
      <alignment horizontal="center" vertical="center" wrapText="1"/>
    </xf>
    <xf numFmtId="0" fontId="41" fillId="3" borderId="0" xfId="0" applyFont="1" applyFill="1"/>
    <xf numFmtId="0" fontId="22" fillId="6" borderId="6" xfId="0" applyFont="1" applyFill="1" applyBorder="1" applyAlignment="1">
      <alignment horizontal="center"/>
    </xf>
    <xf numFmtId="0" fontId="22" fillId="6" borderId="7" xfId="0" applyFont="1" applyFill="1" applyBorder="1" applyAlignment="1">
      <alignment horizontal="center"/>
    </xf>
    <xf numFmtId="0" fontId="22" fillId="5" borderId="6" xfId="0" applyFont="1" applyFill="1" applyBorder="1" applyAlignment="1">
      <alignment horizontal="center"/>
    </xf>
    <xf numFmtId="0" fontId="22" fillId="5" borderId="7" xfId="0" applyFont="1" applyFill="1" applyBorder="1" applyAlignment="1">
      <alignment horizontal="center"/>
    </xf>
    <xf numFmtId="0" fontId="8" fillId="3" borderId="8" xfId="0" applyFont="1" applyFill="1" applyBorder="1" applyAlignment="1">
      <alignment horizontal="center"/>
    </xf>
    <xf numFmtId="0" fontId="8" fillId="0" borderId="1" xfId="0" applyFont="1" applyBorder="1" applyAlignment="1">
      <alignment horizontal="left" vertical="top"/>
    </xf>
    <xf numFmtId="0" fontId="22" fillId="7" borderId="6" xfId="0" applyFont="1" applyFill="1" applyBorder="1" applyAlignment="1">
      <alignment horizontal="center"/>
    </xf>
    <xf numFmtId="0" fontId="22" fillId="7" borderId="7" xfId="0" applyFont="1" applyFill="1" applyBorder="1" applyAlignment="1">
      <alignment horizontal="center"/>
    </xf>
    <xf numFmtId="0" fontId="22" fillId="8" borderId="6" xfId="0" applyFont="1" applyFill="1" applyBorder="1" applyAlignment="1">
      <alignment horizontal="center"/>
    </xf>
    <xf numFmtId="0" fontId="22" fillId="8" borderId="7" xfId="0" applyFont="1" applyFill="1" applyBorder="1" applyAlignment="1">
      <alignment horizontal="center"/>
    </xf>
    <xf numFmtId="17"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0" fillId="3" borderId="0" xfId="0" applyFont="1" applyFill="1" applyBorder="1" applyAlignment="1">
      <alignment horizontal="center" vertical="center"/>
    </xf>
    <xf numFmtId="17" fontId="17" fillId="3" borderId="0" xfId="0" applyNumberFormat="1" applyFont="1" applyFill="1" applyBorder="1" applyAlignment="1">
      <alignment horizontal="center" vertical="center" wrapText="1"/>
    </xf>
    <xf numFmtId="17" fontId="20" fillId="3" borderId="0" xfId="0" applyNumberFormat="1" applyFont="1" applyFill="1" applyBorder="1" applyAlignment="1">
      <alignment horizontal="center" vertical="center" wrapText="1"/>
    </xf>
    <xf numFmtId="17" fontId="20" fillId="3" borderId="8" xfId="0" applyNumberFormat="1" applyFont="1" applyFill="1" applyBorder="1" applyAlignment="1">
      <alignment horizontal="center" vertical="center" wrapText="1"/>
    </xf>
    <xf numFmtId="49" fontId="21" fillId="3" borderId="0" xfId="0" applyNumberFormat="1" applyFont="1" applyFill="1" applyBorder="1" applyAlignment="1">
      <alignment horizontal="left" vertical="center" wrapText="1"/>
    </xf>
    <xf numFmtId="0" fontId="20" fillId="3" borderId="0" xfId="0" applyFont="1" applyFill="1" applyBorder="1" applyAlignment="1">
      <alignment horizontal="left" vertical="center"/>
    </xf>
    <xf numFmtId="49" fontId="21" fillId="3" borderId="53" xfId="0" applyNumberFormat="1" applyFont="1" applyFill="1" applyBorder="1" applyAlignment="1">
      <alignment horizontal="left" vertical="center" wrapText="1"/>
    </xf>
    <xf numFmtId="49" fontId="21" fillId="3" borderId="54" xfId="0" applyNumberFormat="1" applyFont="1" applyFill="1" applyBorder="1" applyAlignment="1">
      <alignment horizontal="left" vertical="center" wrapText="1"/>
    </xf>
    <xf numFmtId="49" fontId="21" fillId="14" borderId="55" xfId="0" applyNumberFormat="1" applyFont="1" applyFill="1" applyBorder="1" applyAlignment="1">
      <alignment horizontal="left" vertical="center" wrapText="1"/>
    </xf>
    <xf numFmtId="49" fontId="21" fillId="14" borderId="56" xfId="0" applyNumberFormat="1" applyFont="1" applyFill="1" applyBorder="1" applyAlignment="1">
      <alignment horizontal="left" vertical="center" wrapText="1"/>
    </xf>
    <xf numFmtId="49" fontId="21" fillId="14" borderId="57" xfId="0" applyNumberFormat="1" applyFont="1" applyFill="1" applyBorder="1" applyAlignment="1">
      <alignment horizontal="left" vertical="center" wrapText="1"/>
    </xf>
    <xf numFmtId="0" fontId="18" fillId="4" borderId="35" xfId="0" applyFont="1" applyFill="1" applyBorder="1" applyAlignment="1">
      <alignment horizontal="right" vertical="center"/>
    </xf>
    <xf numFmtId="0" fontId="18" fillId="4" borderId="61" xfId="0" applyFont="1" applyFill="1" applyBorder="1" applyAlignment="1">
      <alignment horizontal="right" vertical="center"/>
    </xf>
    <xf numFmtId="0" fontId="18" fillId="4" borderId="36" xfId="0" applyFont="1" applyFill="1" applyBorder="1" applyAlignment="1">
      <alignment horizontal="right" vertical="center"/>
    </xf>
    <xf numFmtId="0" fontId="22" fillId="2" borderId="16" xfId="0" applyFont="1" applyFill="1" applyBorder="1" applyAlignment="1">
      <alignment horizontal="right" vertical="center" wrapText="1"/>
    </xf>
    <xf numFmtId="0" fontId="22" fillId="2" borderId="22" xfId="0" applyFont="1" applyFill="1" applyBorder="1" applyAlignment="1">
      <alignment horizontal="right" vertical="center" wrapText="1"/>
    </xf>
    <xf numFmtId="0" fontId="22" fillId="2" borderId="17" xfId="0" applyFont="1" applyFill="1" applyBorder="1" applyAlignment="1">
      <alignment horizontal="right" vertical="center" wrapText="1"/>
    </xf>
    <xf numFmtId="0" fontId="36" fillId="3" borderId="0" xfId="0" applyFont="1" applyFill="1" applyAlignment="1">
      <alignment horizontal="center" vertical="center" wrapText="1"/>
    </xf>
    <xf numFmtId="0" fontId="36" fillId="3" borderId="0" xfId="0" applyFont="1" applyFill="1" applyAlignment="1">
      <alignment horizontal="center" vertical="center"/>
    </xf>
    <xf numFmtId="44" fontId="2" fillId="3" borderId="0" xfId="0" applyNumberFormat="1" applyFont="1" applyFill="1" applyBorder="1" applyAlignment="1">
      <alignment horizontal="center"/>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12" borderId="6" xfId="0" applyFont="1" applyFill="1" applyBorder="1" applyAlignment="1">
      <alignment horizontal="left" vertical="center" wrapText="1"/>
    </xf>
    <xf numFmtId="0" fontId="21" fillId="12" borderId="7" xfId="0" applyFont="1" applyFill="1" applyBorder="1" applyAlignment="1">
      <alignment horizontal="left" vertical="center" wrapText="1"/>
    </xf>
    <xf numFmtId="0" fontId="20" fillId="3" borderId="27"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4" fillId="10" borderId="58" xfId="0" applyFont="1" applyFill="1" applyBorder="1" applyAlignment="1">
      <alignment horizontal="center" vertical="center"/>
    </xf>
    <xf numFmtId="0" fontId="24" fillId="10" borderId="59" xfId="0" applyFont="1" applyFill="1" applyBorder="1" applyAlignment="1">
      <alignment horizontal="center" vertical="center"/>
    </xf>
    <xf numFmtId="0" fontId="24" fillId="10" borderId="60" xfId="0" applyFont="1" applyFill="1" applyBorder="1" applyAlignment="1">
      <alignment horizontal="center" vertical="center"/>
    </xf>
    <xf numFmtId="0" fontId="31" fillId="10" borderId="58" xfId="0" applyFont="1" applyFill="1" applyBorder="1" applyAlignment="1">
      <alignment horizontal="center" vertical="center"/>
    </xf>
    <xf numFmtId="0" fontId="31" fillId="10" borderId="59" xfId="0" applyFont="1" applyFill="1" applyBorder="1" applyAlignment="1">
      <alignment horizontal="center" vertical="center"/>
    </xf>
    <xf numFmtId="0" fontId="31" fillId="10" borderId="60" xfId="0" applyFont="1" applyFill="1" applyBorder="1" applyAlignment="1">
      <alignment horizontal="center" vertical="center"/>
    </xf>
    <xf numFmtId="0" fontId="21" fillId="3" borderId="0" xfId="0" applyFont="1" applyFill="1" applyAlignment="1">
      <alignment horizontal="left" vertical="center" wrapText="1"/>
    </xf>
    <xf numFmtId="17" fontId="22" fillId="2" borderId="19" xfId="0" applyNumberFormat="1"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21" xfId="0" applyFont="1" applyFill="1" applyBorder="1" applyAlignment="1">
      <alignment horizontal="center" vertical="center"/>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2" fillId="11" borderId="63" xfId="0" applyFont="1" applyFill="1" applyBorder="1" applyAlignment="1">
      <alignment horizontal="center"/>
    </xf>
    <xf numFmtId="0" fontId="22" fillId="11" borderId="64" xfId="0" applyFont="1" applyFill="1" applyBorder="1" applyAlignment="1">
      <alignment horizontal="center"/>
    </xf>
    <xf numFmtId="0" fontId="22" fillId="11" borderId="65" xfId="0" applyFont="1" applyFill="1" applyBorder="1" applyAlignment="1">
      <alignment horizontal="center"/>
    </xf>
    <xf numFmtId="0" fontId="21" fillId="3" borderId="53"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54" xfId="0" applyFont="1" applyFill="1" applyBorder="1" applyAlignment="1">
      <alignment horizontal="left" vertical="center" wrapText="1"/>
    </xf>
    <xf numFmtId="0" fontId="21" fillId="3" borderId="50" xfId="0" applyFont="1" applyFill="1" applyBorder="1" applyAlignment="1">
      <alignment horizontal="left" vertical="center" wrapText="1"/>
    </xf>
    <xf numFmtId="0" fontId="21" fillId="3" borderId="51" xfId="0" applyFont="1" applyFill="1" applyBorder="1" applyAlignment="1">
      <alignment horizontal="left" vertical="center" wrapText="1"/>
    </xf>
    <xf numFmtId="0" fontId="21" fillId="3" borderId="52"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2" fillId="10" borderId="28"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33" xfId="0" applyFont="1" applyFill="1" applyBorder="1" applyAlignment="1">
      <alignment horizontal="center" vertical="center"/>
    </xf>
    <xf numFmtId="0" fontId="21" fillId="3" borderId="19" xfId="0" applyFont="1" applyFill="1" applyBorder="1" applyAlignment="1">
      <alignment horizontal="center"/>
    </xf>
    <xf numFmtId="0" fontId="21" fillId="3" borderId="20" xfId="0" applyFont="1" applyFill="1" applyBorder="1" applyAlignment="1">
      <alignment horizontal="center"/>
    </xf>
    <xf numFmtId="0" fontId="21" fillId="3" borderId="21" xfId="0" applyFont="1" applyFill="1" applyBorder="1" applyAlignment="1">
      <alignment horizontal="center"/>
    </xf>
    <xf numFmtId="0" fontId="32" fillId="13" borderId="42" xfId="0" applyFont="1" applyFill="1" applyBorder="1" applyAlignment="1">
      <alignment horizontal="center" vertical="center"/>
    </xf>
    <xf numFmtId="0" fontId="32" fillId="13" borderId="43" xfId="0" applyFont="1" applyFill="1" applyBorder="1" applyAlignment="1">
      <alignment horizontal="center" vertical="center"/>
    </xf>
    <xf numFmtId="0" fontId="32" fillId="13" borderId="44" xfId="0" applyFont="1" applyFill="1" applyBorder="1" applyAlignment="1">
      <alignment horizontal="center" vertical="center"/>
    </xf>
    <xf numFmtId="0" fontId="32" fillId="13" borderId="45" xfId="0" applyFont="1" applyFill="1" applyBorder="1" applyAlignment="1">
      <alignment horizontal="center" vertical="center"/>
    </xf>
    <xf numFmtId="0" fontId="32" fillId="13" borderId="1" xfId="0" applyFont="1" applyFill="1" applyBorder="1" applyAlignment="1">
      <alignment horizontal="center" vertical="center"/>
    </xf>
    <xf numFmtId="0" fontId="32" fillId="13" borderId="46" xfId="0" applyFont="1" applyFill="1" applyBorder="1" applyAlignment="1">
      <alignment horizontal="center" vertical="center"/>
    </xf>
    <xf numFmtId="0" fontId="32" fillId="13" borderId="47" xfId="0" applyFont="1" applyFill="1" applyBorder="1" applyAlignment="1">
      <alignment horizontal="center" vertical="center"/>
    </xf>
    <xf numFmtId="0" fontId="32" fillId="13" borderId="48" xfId="0" applyFont="1" applyFill="1" applyBorder="1" applyAlignment="1">
      <alignment horizontal="center" vertical="center"/>
    </xf>
    <xf numFmtId="0" fontId="32" fillId="13" borderId="49" xfId="0" applyFont="1" applyFill="1" applyBorder="1" applyAlignment="1">
      <alignment horizontal="center" vertical="center"/>
    </xf>
    <xf numFmtId="0" fontId="18" fillId="11" borderId="63" xfId="0" applyFont="1" applyFill="1" applyBorder="1" applyAlignment="1">
      <alignment horizontal="center" vertical="center"/>
    </xf>
    <xf numFmtId="0" fontId="18" fillId="11" borderId="64" xfId="0" applyFont="1" applyFill="1" applyBorder="1" applyAlignment="1">
      <alignment horizontal="center" vertical="center"/>
    </xf>
    <xf numFmtId="0" fontId="20" fillId="11" borderId="63" xfId="0" applyFont="1" applyFill="1" applyBorder="1" applyAlignment="1">
      <alignment horizontal="center" vertical="center"/>
    </xf>
    <xf numFmtId="0" fontId="20" fillId="11" borderId="65" xfId="0" applyFont="1" applyFill="1" applyBorder="1" applyAlignment="1">
      <alignment horizontal="center" vertical="center"/>
    </xf>
    <xf numFmtId="0" fontId="5" fillId="10" borderId="19" xfId="0" applyFont="1" applyFill="1" applyBorder="1" applyAlignment="1">
      <alignment horizontal="center" vertical="center"/>
    </xf>
    <xf numFmtId="0" fontId="5" fillId="10" borderId="20" xfId="0" applyFont="1" applyFill="1" applyBorder="1" applyAlignment="1">
      <alignment horizontal="center" vertical="center"/>
    </xf>
    <xf numFmtId="0" fontId="5" fillId="10" borderId="21"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2" borderId="39" xfId="0" applyFont="1" applyFill="1" applyBorder="1" applyAlignment="1">
      <alignment horizontal="right" vertical="center" wrapText="1"/>
    </xf>
    <xf numFmtId="0" fontId="22" fillId="2" borderId="40" xfId="0" applyFont="1" applyFill="1" applyBorder="1" applyAlignment="1">
      <alignment horizontal="right" vertical="center" wrapText="1"/>
    </xf>
    <xf numFmtId="0" fontId="22" fillId="2" borderId="41" xfId="0" applyFont="1" applyFill="1" applyBorder="1" applyAlignment="1">
      <alignment horizontal="right" vertical="center" wrapText="1"/>
    </xf>
    <xf numFmtId="0" fontId="10" fillId="3" borderId="0" xfId="0" applyFont="1" applyFill="1" applyBorder="1" applyAlignment="1">
      <alignment horizontal="left" vertical="center"/>
    </xf>
    <xf numFmtId="0" fontId="32" fillId="13" borderId="27" xfId="0" applyFont="1" applyFill="1" applyBorder="1" applyAlignment="1">
      <alignment horizontal="center" vertical="center"/>
    </xf>
    <xf numFmtId="0" fontId="32" fillId="13" borderId="28" xfId="0" applyFont="1" applyFill="1" applyBorder="1" applyAlignment="1">
      <alignment horizontal="center" vertical="center"/>
    </xf>
    <xf numFmtId="0" fontId="32" fillId="13" borderId="29" xfId="0" applyFont="1" applyFill="1" applyBorder="1" applyAlignment="1">
      <alignment horizontal="center" vertical="center"/>
    </xf>
    <xf numFmtId="0" fontId="32" fillId="13" borderId="30" xfId="0" applyFont="1" applyFill="1" applyBorder="1" applyAlignment="1">
      <alignment horizontal="center" vertical="center"/>
    </xf>
    <xf numFmtId="0" fontId="32" fillId="13" borderId="0" xfId="0" applyFont="1" applyFill="1" applyBorder="1" applyAlignment="1">
      <alignment horizontal="center" vertical="center"/>
    </xf>
    <xf numFmtId="0" fontId="32" fillId="13" borderId="31" xfId="0" applyFont="1" applyFill="1" applyBorder="1" applyAlignment="1">
      <alignment horizontal="center" vertical="center"/>
    </xf>
    <xf numFmtId="0" fontId="32" fillId="13" borderId="32" xfId="0" applyFont="1" applyFill="1" applyBorder="1" applyAlignment="1">
      <alignment horizontal="center" vertical="center"/>
    </xf>
    <xf numFmtId="0" fontId="32" fillId="13" borderId="33" xfId="0" applyFont="1" applyFill="1" applyBorder="1" applyAlignment="1">
      <alignment horizontal="center" vertical="center"/>
    </xf>
    <xf numFmtId="0" fontId="32" fillId="13" borderId="34" xfId="0" applyFont="1" applyFill="1" applyBorder="1" applyAlignment="1">
      <alignment horizontal="center" vertical="center"/>
    </xf>
    <xf numFmtId="0" fontId="21" fillId="3" borderId="0" xfId="0" applyFont="1" applyFill="1" applyBorder="1" applyAlignment="1">
      <alignment horizontal="left" vertical="center"/>
    </xf>
    <xf numFmtId="0" fontId="22" fillId="2" borderId="24" xfId="0" applyFont="1" applyFill="1" applyBorder="1" applyAlignment="1">
      <alignment horizontal="right" vertical="center" wrapText="1"/>
    </xf>
    <xf numFmtId="0" fontId="22" fillId="2" borderId="25" xfId="0" applyFont="1" applyFill="1" applyBorder="1" applyAlignment="1">
      <alignment horizontal="right" vertical="center" wrapText="1"/>
    </xf>
    <xf numFmtId="0" fontId="22" fillId="2" borderId="26" xfId="0" applyFont="1" applyFill="1" applyBorder="1" applyAlignment="1">
      <alignment horizontal="right" vertical="center" wrapText="1"/>
    </xf>
    <xf numFmtId="1" fontId="21" fillId="0" borderId="38" xfId="0" applyNumberFormat="1" applyFont="1" applyBorder="1" applyAlignment="1">
      <alignment horizontal="center" vertical="center"/>
    </xf>
    <xf numFmtId="1" fontId="21" fillId="0" borderId="14" xfId="0" applyNumberFormat="1" applyFont="1" applyBorder="1" applyAlignment="1">
      <alignment horizontal="center" vertical="center"/>
    </xf>
    <xf numFmtId="1" fontId="21" fillId="0" borderId="13" xfId="0" applyNumberFormat="1" applyFont="1" applyBorder="1" applyAlignment="1">
      <alignment horizontal="center" vertical="center"/>
    </xf>
    <xf numFmtId="0" fontId="30" fillId="3" borderId="6"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7" xfId="0" applyFont="1" applyFill="1" applyBorder="1" applyAlignment="1">
      <alignment horizontal="center" vertical="center"/>
    </xf>
    <xf numFmtId="0" fontId="10" fillId="3" borderId="0" xfId="0" applyFont="1" applyFill="1" applyAlignment="1">
      <alignment horizontal="left" vertical="center" wrapText="1"/>
    </xf>
    <xf numFmtId="0" fontId="24" fillId="2" borderId="19"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0" fillId="3" borderId="1" xfId="0" applyFont="1" applyFill="1" applyBorder="1" applyAlignment="1">
      <alignment horizontal="center" vertical="center"/>
    </xf>
    <xf numFmtId="0" fontId="22" fillId="2" borderId="1" xfId="0" applyFont="1" applyFill="1" applyBorder="1" applyAlignment="1">
      <alignment horizontal="center" vertical="center"/>
    </xf>
    <xf numFmtId="164" fontId="22" fillId="2" borderId="1" xfId="0" applyNumberFormat="1" applyFont="1" applyFill="1" applyBorder="1" applyAlignment="1">
      <alignment horizontal="center" vertical="center"/>
    </xf>
    <xf numFmtId="0" fontId="2" fillId="3" borderId="2"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2" fillId="3" borderId="8" xfId="0" applyFont="1" applyFill="1" applyBorder="1" applyAlignment="1">
      <alignment horizontal="center"/>
    </xf>
    <xf numFmtId="0" fontId="2" fillId="3" borderId="12" xfId="0" applyFont="1" applyFill="1" applyBorder="1" applyAlignment="1">
      <alignment horizontal="center"/>
    </xf>
    <xf numFmtId="49" fontId="10" fillId="3" borderId="8" xfId="0" applyNumberFormat="1" applyFont="1" applyFill="1" applyBorder="1" applyAlignment="1">
      <alignment horizontal="left" vertical="center" wrapText="1"/>
    </xf>
    <xf numFmtId="49" fontId="38" fillId="3" borderId="0" xfId="0" applyNumberFormat="1" applyFont="1" applyFill="1" applyBorder="1" applyAlignment="1">
      <alignment horizontal="left" vertical="center" wrapText="1"/>
    </xf>
    <xf numFmtId="0" fontId="39" fillId="3" borderId="0" xfId="0" applyFont="1" applyFill="1" applyBorder="1" applyAlignment="1">
      <alignment horizontal="center" vertical="center" wrapText="1"/>
    </xf>
    <xf numFmtId="49" fontId="11" fillId="3" borderId="8" xfId="0" applyNumberFormat="1" applyFont="1" applyFill="1" applyBorder="1" applyAlignment="1">
      <alignment horizontal="left" vertical="center" wrapText="1"/>
    </xf>
    <xf numFmtId="49" fontId="39" fillId="3" borderId="10" xfId="0" applyNumberFormat="1" applyFont="1" applyFill="1" applyBorder="1" applyAlignment="1">
      <alignment horizontal="left" vertical="top" wrapText="1"/>
    </xf>
    <xf numFmtId="49" fontId="10" fillId="3" borderId="0" xfId="0" applyNumberFormat="1" applyFont="1" applyFill="1" applyBorder="1" applyAlignment="1">
      <alignment horizontal="left" vertical="center" wrapText="1"/>
    </xf>
    <xf numFmtId="0" fontId="18" fillId="3" borderId="0" xfId="0" applyFont="1" applyFill="1" applyBorder="1" applyAlignment="1">
      <alignment horizontal="center" vertical="center" wrapText="1"/>
    </xf>
    <xf numFmtId="0" fontId="40" fillId="0" borderId="0" xfId="0" applyFont="1" applyFill="1" applyAlignment="1">
      <alignment horizontal="center" vertical="center" wrapText="1"/>
    </xf>
    <xf numFmtId="0" fontId="17"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11" fillId="3" borderId="0" xfId="0" applyFont="1" applyFill="1" applyBorder="1" applyAlignment="1">
      <alignment horizontal="righ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2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2137923</xdr:colOff>
      <xdr:row>11</xdr:row>
      <xdr:rowOff>33620</xdr:rowOff>
    </xdr:from>
    <xdr:to>
      <xdr:col>4</xdr:col>
      <xdr:colOff>782017</xdr:colOff>
      <xdr:row>18</xdr:row>
      <xdr:rowOff>197711</xdr:rowOff>
    </xdr:to>
    <xdr:pic>
      <xdr:nvPicPr>
        <xdr:cNvPr id="2" name="0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9602" y="2428477"/>
          <a:ext cx="1732915" cy="1688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2135655</xdr:colOff>
      <xdr:row>2</xdr:row>
      <xdr:rowOff>97118</xdr:rowOff>
    </xdr:from>
    <xdr:to>
      <xdr:col>6</xdr:col>
      <xdr:colOff>772945</xdr:colOff>
      <xdr:row>10</xdr:row>
      <xdr:rowOff>38959</xdr:rowOff>
    </xdr:to>
    <xdr:pic>
      <xdr:nvPicPr>
        <xdr:cNvPr id="2" name="0 Imagen">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3030" y="541618"/>
          <a:ext cx="1732915" cy="17198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56030</xdr:colOff>
      <xdr:row>2</xdr:row>
      <xdr:rowOff>33618</xdr:rowOff>
    </xdr:from>
    <xdr:to>
      <xdr:col>2</xdr:col>
      <xdr:colOff>1788945</xdr:colOff>
      <xdr:row>9</xdr:row>
      <xdr:rowOff>197709</xdr:rowOff>
    </xdr:to>
    <xdr:pic>
      <xdr:nvPicPr>
        <xdr:cNvPr id="2" name="0 Imagen">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0905" y="471768"/>
          <a:ext cx="1732915" cy="16976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3"/>
  <sheetViews>
    <sheetView zoomScale="85" zoomScaleNormal="85" zoomScaleSheetLayoutView="90" workbookViewId="0">
      <selection activeCell="C25" sqref="C25"/>
    </sheetView>
  </sheetViews>
  <sheetFormatPr baseColWidth="10" defaultColWidth="11.42578125" defaultRowHeight="15.75" x14ac:dyDescent="0.3"/>
  <cols>
    <col min="1" max="1" width="2.85546875" style="12" customWidth="1"/>
    <col min="2" max="2" width="23" style="12" customWidth="1"/>
    <col min="3" max="3" width="68.28515625" style="12" bestFit="1" customWidth="1"/>
    <col min="4" max="4" width="2.7109375" style="12" customWidth="1"/>
    <col min="5" max="16384" width="11.42578125" style="12"/>
  </cols>
  <sheetData>
    <row r="1" spans="1:4" x14ac:dyDescent="0.3">
      <c r="A1" s="10"/>
      <c r="B1" s="202"/>
      <c r="C1" s="202"/>
      <c r="D1" s="10"/>
    </row>
    <row r="2" spans="1:4" ht="21" x14ac:dyDescent="0.35">
      <c r="A2" s="10"/>
      <c r="B2" s="200" t="s">
        <v>72</v>
      </c>
      <c r="C2" s="201"/>
      <c r="D2" s="10"/>
    </row>
    <row r="3" spans="1:4" x14ac:dyDescent="0.3">
      <c r="A3" s="10"/>
      <c r="B3" s="63" t="s">
        <v>49</v>
      </c>
      <c r="C3" s="58" t="s">
        <v>178</v>
      </c>
      <c r="D3" s="10"/>
    </row>
    <row r="4" spans="1:4" x14ac:dyDescent="0.3">
      <c r="A4" s="10"/>
      <c r="B4" s="203" t="s">
        <v>50</v>
      </c>
      <c r="C4" s="58" t="s">
        <v>179</v>
      </c>
      <c r="D4" s="10"/>
    </row>
    <row r="5" spans="1:4" x14ac:dyDescent="0.3">
      <c r="A5" s="10"/>
      <c r="B5" s="203"/>
      <c r="C5" s="58" t="s">
        <v>180</v>
      </c>
      <c r="D5" s="10"/>
    </row>
    <row r="6" spans="1:4" x14ac:dyDescent="0.3">
      <c r="A6" s="10"/>
      <c r="B6" s="62" t="s">
        <v>57</v>
      </c>
      <c r="C6" s="58"/>
      <c r="D6" s="10"/>
    </row>
    <row r="7" spans="1:4" x14ac:dyDescent="0.3">
      <c r="A7" s="10"/>
      <c r="B7" s="63" t="s">
        <v>51</v>
      </c>
      <c r="C7" s="58" t="s">
        <v>43</v>
      </c>
      <c r="D7" s="10"/>
    </row>
    <row r="8" spans="1:4" x14ac:dyDescent="0.3">
      <c r="A8" s="10"/>
      <c r="B8" s="63" t="s">
        <v>145</v>
      </c>
      <c r="C8" s="58" t="s">
        <v>181</v>
      </c>
      <c r="D8" s="10"/>
    </row>
    <row r="9" spans="1:4" x14ac:dyDescent="0.3">
      <c r="A9" s="10"/>
      <c r="B9" s="63" t="s">
        <v>52</v>
      </c>
      <c r="C9" s="59" t="s">
        <v>182</v>
      </c>
      <c r="D9" s="10"/>
    </row>
    <row r="10" spans="1:4" x14ac:dyDescent="0.3">
      <c r="A10" s="10"/>
      <c r="B10" s="82"/>
      <c r="C10" s="83"/>
      <c r="D10" s="10"/>
    </row>
    <row r="11" spans="1:4" ht="21" x14ac:dyDescent="0.35">
      <c r="A11" s="10"/>
      <c r="B11" s="206" t="s">
        <v>71</v>
      </c>
      <c r="C11" s="207"/>
      <c r="D11" s="10"/>
    </row>
    <row r="12" spans="1:4" x14ac:dyDescent="0.3">
      <c r="A12" s="10"/>
      <c r="B12" s="62" t="s">
        <v>53</v>
      </c>
      <c r="C12" s="60" t="s">
        <v>176</v>
      </c>
      <c r="D12" s="10"/>
    </row>
    <row r="13" spans="1:4" x14ac:dyDescent="0.3">
      <c r="A13" s="10"/>
      <c r="B13" s="63" t="s">
        <v>54</v>
      </c>
      <c r="C13" s="58" t="s">
        <v>177</v>
      </c>
      <c r="D13" s="10"/>
    </row>
    <row r="14" spans="1:4" x14ac:dyDescent="0.3">
      <c r="A14" s="10"/>
      <c r="B14" s="63" t="s">
        <v>55</v>
      </c>
      <c r="C14" s="58" t="str">
        <f>C4</f>
        <v>CALLE DE LA CASA, 01</v>
      </c>
      <c r="D14" s="10"/>
    </row>
    <row r="15" spans="1:4" x14ac:dyDescent="0.3">
      <c r="A15" s="10"/>
      <c r="B15" s="63" t="s">
        <v>170</v>
      </c>
      <c r="C15" s="58">
        <v>100</v>
      </c>
      <c r="D15" s="10"/>
    </row>
    <row r="16" spans="1:4" x14ac:dyDescent="0.3">
      <c r="A16" s="10"/>
      <c r="B16" s="63" t="s">
        <v>171</v>
      </c>
      <c r="C16" s="58">
        <v>20</v>
      </c>
      <c r="D16" s="10"/>
    </row>
    <row r="17" spans="1:4" x14ac:dyDescent="0.3">
      <c r="A17" s="10"/>
      <c r="B17" s="63" t="s">
        <v>56</v>
      </c>
      <c r="C17" s="61" t="s">
        <v>183</v>
      </c>
      <c r="D17" s="10"/>
    </row>
    <row r="18" spans="1:4" x14ac:dyDescent="0.3">
      <c r="A18" s="10"/>
      <c r="B18" s="82"/>
      <c r="C18" s="83"/>
      <c r="D18" s="10"/>
    </row>
    <row r="19" spans="1:4" ht="21" x14ac:dyDescent="0.35">
      <c r="A19" s="10"/>
      <c r="B19" s="204" t="s">
        <v>73</v>
      </c>
      <c r="C19" s="205"/>
      <c r="D19" s="10"/>
    </row>
    <row r="20" spans="1:4" x14ac:dyDescent="0.3">
      <c r="A20" s="10"/>
      <c r="B20" s="63" t="s">
        <v>75</v>
      </c>
      <c r="C20" s="58" t="s">
        <v>185</v>
      </c>
      <c r="D20" s="10"/>
    </row>
    <row r="21" spans="1:4" x14ac:dyDescent="0.3">
      <c r="A21" s="10"/>
      <c r="B21" s="63" t="s">
        <v>63</v>
      </c>
      <c r="C21" s="58" t="s">
        <v>186</v>
      </c>
      <c r="D21" s="10"/>
    </row>
    <row r="22" spans="1:4" x14ac:dyDescent="0.3">
      <c r="A22" s="10"/>
      <c r="B22" s="63" t="s">
        <v>68</v>
      </c>
      <c r="C22" s="58" t="s">
        <v>185</v>
      </c>
      <c r="D22" s="10"/>
    </row>
    <row r="23" spans="1:4" x14ac:dyDescent="0.3">
      <c r="A23" s="10"/>
      <c r="B23" s="63" t="s">
        <v>64</v>
      </c>
      <c r="C23" s="58" t="s">
        <v>187</v>
      </c>
      <c r="D23" s="10"/>
    </row>
    <row r="24" spans="1:4" x14ac:dyDescent="0.3">
      <c r="A24" s="10"/>
      <c r="B24" s="63" t="s">
        <v>65</v>
      </c>
      <c r="C24" s="58" t="s">
        <v>211</v>
      </c>
      <c r="D24" s="10"/>
    </row>
    <row r="25" spans="1:4" x14ac:dyDescent="0.3">
      <c r="A25" s="10"/>
      <c r="B25" s="63" t="s">
        <v>66</v>
      </c>
      <c r="C25" s="58" t="s">
        <v>212</v>
      </c>
      <c r="D25" s="10"/>
    </row>
    <row r="26" spans="1:4" x14ac:dyDescent="0.3">
      <c r="A26" s="10"/>
      <c r="B26" s="63" t="s">
        <v>67</v>
      </c>
      <c r="C26" s="58" t="s">
        <v>188</v>
      </c>
      <c r="D26" s="10"/>
    </row>
    <row r="27" spans="1:4" x14ac:dyDescent="0.3">
      <c r="A27" s="10"/>
      <c r="B27" s="82"/>
      <c r="C27" s="83"/>
      <c r="D27" s="10"/>
    </row>
    <row r="28" spans="1:4" ht="21" x14ac:dyDescent="0.35">
      <c r="A28" s="10"/>
      <c r="B28" s="198" t="s">
        <v>74</v>
      </c>
      <c r="C28" s="199"/>
      <c r="D28" s="10"/>
    </row>
    <row r="29" spans="1:4" x14ac:dyDescent="0.3">
      <c r="A29" s="10"/>
      <c r="B29" s="54" t="s">
        <v>29</v>
      </c>
      <c r="C29" s="55">
        <v>1.2</v>
      </c>
      <c r="D29" s="10"/>
    </row>
    <row r="30" spans="1:4" x14ac:dyDescent="0.3">
      <c r="A30" s="10"/>
      <c r="B30" s="84" t="s">
        <v>47</v>
      </c>
      <c r="C30" s="85">
        <v>1.1499999999999999</v>
      </c>
      <c r="D30" s="10"/>
    </row>
    <row r="31" spans="1:4" x14ac:dyDescent="0.3">
      <c r="A31" s="10"/>
      <c r="B31" s="56" t="s">
        <v>30</v>
      </c>
      <c r="C31" s="57">
        <v>1.1000000000000001</v>
      </c>
      <c r="D31" s="10"/>
    </row>
    <row r="32" spans="1:4" x14ac:dyDescent="0.3">
      <c r="A32" s="10"/>
      <c r="B32" s="86" t="s">
        <v>48</v>
      </c>
      <c r="C32" s="87">
        <v>1.05</v>
      </c>
      <c r="D32" s="10"/>
    </row>
    <row r="33" spans="1:4" x14ac:dyDescent="0.3">
      <c r="A33" s="10"/>
      <c r="B33" s="10"/>
      <c r="C33" s="10"/>
      <c r="D33" s="10"/>
    </row>
  </sheetData>
  <mergeCells count="6">
    <mergeCell ref="B28:C28"/>
    <mergeCell ref="B2:C2"/>
    <mergeCell ref="B1:C1"/>
    <mergeCell ref="B4:B5"/>
    <mergeCell ref="B19:C19"/>
    <mergeCell ref="B11:C11"/>
  </mergeCells>
  <printOptions horizontalCentered="1"/>
  <pageMargins left="0.39370078740157483" right="0.39370078740157483" top="0.74803149606299213" bottom="0.74803149606299213" header="0.31496062992125984" footer="0.31496062992125984"/>
  <pageSetup paperSize="9"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0"/>
  <sheetViews>
    <sheetView view="pageBreakPreview" zoomScale="70" zoomScaleNormal="70" zoomScaleSheetLayoutView="70" workbookViewId="0">
      <selection activeCell="C2" sqref="C2:F4"/>
    </sheetView>
  </sheetViews>
  <sheetFormatPr baseColWidth="10" defaultColWidth="11.42578125" defaultRowHeight="16.5" x14ac:dyDescent="0.3"/>
  <cols>
    <col min="1" max="1" width="7.140625" style="5" customWidth="1"/>
    <col min="2" max="2" width="11.42578125" style="5"/>
    <col min="3" max="3" width="70.85546875" style="5" customWidth="1"/>
    <col min="4" max="4" width="15.42578125" style="5" bestFit="1" customWidth="1"/>
    <col min="5" max="5" width="3.5703125" style="5" customWidth="1"/>
    <col min="6" max="6" width="23.2851562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31"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138</v>
      </c>
      <c r="C2" s="296" t="s">
        <v>9</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63" x14ac:dyDescent="0.35">
      <c r="A8" s="15"/>
      <c r="B8" s="112">
        <v>1</v>
      </c>
      <c r="C8" s="109" t="s">
        <v>122</v>
      </c>
      <c r="D8" s="110" t="s">
        <v>86</v>
      </c>
      <c r="E8" s="107"/>
      <c r="F8" s="108">
        <v>260</v>
      </c>
      <c r="G8" s="107"/>
      <c r="H8" s="122">
        <f>P8*$O$2</f>
        <v>2288</v>
      </c>
      <c r="I8" s="107"/>
      <c r="J8" s="149">
        <v>8</v>
      </c>
      <c r="K8" s="124">
        <f t="shared" ref="K8:K17" si="0">$J8*$F8</f>
        <v>2080</v>
      </c>
      <c r="L8" s="125"/>
      <c r="M8" s="149"/>
      <c r="N8" s="124">
        <f t="shared" ref="N8:N17" si="1">$M8*$F8</f>
        <v>0</v>
      </c>
      <c r="O8" s="125"/>
      <c r="P8" s="126">
        <f>N8+K8</f>
        <v>2080</v>
      </c>
      <c r="Q8" s="125"/>
      <c r="R8" s="126">
        <f>H8-P8</f>
        <v>208</v>
      </c>
      <c r="S8" s="15"/>
    </row>
    <row r="9" spans="1:19" s="16" customFormat="1" ht="63" x14ac:dyDescent="0.35">
      <c r="A9" s="15"/>
      <c r="B9" s="112">
        <v>2</v>
      </c>
      <c r="C9" s="109" t="s">
        <v>121</v>
      </c>
      <c r="D9" s="110" t="s">
        <v>86</v>
      </c>
      <c r="E9" s="107"/>
      <c r="F9" s="108">
        <v>30</v>
      </c>
      <c r="G9" s="107"/>
      <c r="H9" s="122">
        <f>P9*$O$2</f>
        <v>396.00000000000006</v>
      </c>
      <c r="I9" s="107"/>
      <c r="J9" s="123">
        <v>12</v>
      </c>
      <c r="K9" s="124">
        <f t="shared" si="0"/>
        <v>360</v>
      </c>
      <c r="L9" s="125"/>
      <c r="M9" s="123"/>
      <c r="N9" s="124">
        <f t="shared" si="1"/>
        <v>0</v>
      </c>
      <c r="O9" s="125"/>
      <c r="P9" s="126">
        <f t="shared" ref="P9:P17" si="2">N9+K9</f>
        <v>360</v>
      </c>
      <c r="Q9" s="125"/>
      <c r="R9" s="126">
        <f t="shared" ref="R9:R17" si="3">H9-P9</f>
        <v>36.000000000000057</v>
      </c>
      <c r="S9" s="15"/>
    </row>
    <row r="10" spans="1:19" s="16" customFormat="1" ht="63" x14ac:dyDescent="0.35">
      <c r="A10" s="15"/>
      <c r="B10" s="112">
        <v>3</v>
      </c>
      <c r="C10" s="109" t="s">
        <v>123</v>
      </c>
      <c r="D10" s="110" t="s">
        <v>86</v>
      </c>
      <c r="E10" s="107"/>
      <c r="F10" s="108">
        <v>90</v>
      </c>
      <c r="G10" s="107"/>
      <c r="H10" s="122">
        <f t="shared" ref="H10:H17" si="4">P10*$O$2</f>
        <v>792.00000000000011</v>
      </c>
      <c r="I10" s="107"/>
      <c r="J10" s="149">
        <v>8</v>
      </c>
      <c r="K10" s="124">
        <f t="shared" si="0"/>
        <v>720</v>
      </c>
      <c r="L10" s="125"/>
      <c r="M10" s="123"/>
      <c r="N10" s="124">
        <f t="shared" si="1"/>
        <v>0</v>
      </c>
      <c r="O10" s="125"/>
      <c r="P10" s="126">
        <f t="shared" si="2"/>
        <v>720</v>
      </c>
      <c r="Q10" s="125"/>
      <c r="R10" s="126">
        <f t="shared" si="3"/>
        <v>72.000000000000114</v>
      </c>
      <c r="S10" s="15"/>
    </row>
    <row r="11" spans="1:19" s="16" customFormat="1" ht="19.5" customHeight="1" x14ac:dyDescent="0.35">
      <c r="A11" s="15"/>
      <c r="B11" s="112">
        <v>4</v>
      </c>
      <c r="C11" s="109"/>
      <c r="D11" s="110"/>
      <c r="E11" s="107"/>
      <c r="F11" s="108"/>
      <c r="G11" s="107"/>
      <c r="H11" s="122">
        <f t="shared" si="4"/>
        <v>0</v>
      </c>
      <c r="I11" s="107"/>
      <c r="J11" s="123"/>
      <c r="K11" s="124">
        <f t="shared" si="0"/>
        <v>0</v>
      </c>
      <c r="L11" s="125"/>
      <c r="M11" s="123"/>
      <c r="N11" s="124">
        <f t="shared" si="1"/>
        <v>0</v>
      </c>
      <c r="O11" s="125"/>
      <c r="P11" s="126">
        <f t="shared" si="2"/>
        <v>0</v>
      </c>
      <c r="Q11" s="125"/>
      <c r="R11" s="126">
        <f t="shared" si="3"/>
        <v>0</v>
      </c>
      <c r="S11" s="15"/>
    </row>
    <row r="12" spans="1:19" s="16" customFormat="1" ht="19.5" customHeight="1" x14ac:dyDescent="0.35">
      <c r="A12" s="15"/>
      <c r="B12" s="112">
        <v>5</v>
      </c>
      <c r="C12" s="109"/>
      <c r="D12" s="110"/>
      <c r="E12" s="107"/>
      <c r="F12" s="108"/>
      <c r="G12" s="107"/>
      <c r="H12" s="122">
        <f t="shared" si="4"/>
        <v>0</v>
      </c>
      <c r="I12" s="107"/>
      <c r="J12" s="123"/>
      <c r="K12" s="124">
        <f t="shared" si="0"/>
        <v>0</v>
      </c>
      <c r="L12" s="125"/>
      <c r="M12" s="123"/>
      <c r="N12" s="124">
        <f t="shared" si="1"/>
        <v>0</v>
      </c>
      <c r="O12" s="125"/>
      <c r="P12" s="126">
        <f t="shared" si="2"/>
        <v>0</v>
      </c>
      <c r="Q12" s="125"/>
      <c r="R12" s="126">
        <f t="shared" si="3"/>
        <v>0</v>
      </c>
      <c r="S12" s="15"/>
    </row>
    <row r="13" spans="1:19" s="16" customFormat="1" ht="19.5" customHeight="1" x14ac:dyDescent="0.35">
      <c r="A13" s="15"/>
      <c r="B13" s="112">
        <v>6</v>
      </c>
      <c r="C13" s="109"/>
      <c r="D13" s="110"/>
      <c r="E13" s="107"/>
      <c r="F13" s="108"/>
      <c r="G13" s="107"/>
      <c r="H13" s="122">
        <f t="shared" si="4"/>
        <v>0</v>
      </c>
      <c r="I13" s="107"/>
      <c r="J13" s="123"/>
      <c r="K13" s="124">
        <f t="shared" si="0"/>
        <v>0</v>
      </c>
      <c r="L13" s="125"/>
      <c r="M13" s="123"/>
      <c r="N13" s="124">
        <f t="shared" si="1"/>
        <v>0</v>
      </c>
      <c r="O13" s="125"/>
      <c r="P13" s="126">
        <f t="shared" si="2"/>
        <v>0</v>
      </c>
      <c r="Q13" s="125"/>
      <c r="R13" s="126">
        <f t="shared" si="3"/>
        <v>0</v>
      </c>
      <c r="S13" s="15"/>
    </row>
    <row r="14" spans="1:19" s="16" customFormat="1" ht="19.5" customHeight="1" x14ac:dyDescent="0.35">
      <c r="A14" s="15"/>
      <c r="B14" s="112">
        <v>7</v>
      </c>
      <c r="C14" s="109"/>
      <c r="D14" s="110"/>
      <c r="E14" s="107"/>
      <c r="F14" s="108"/>
      <c r="G14" s="107"/>
      <c r="H14" s="122">
        <f t="shared" si="4"/>
        <v>0</v>
      </c>
      <c r="I14" s="107"/>
      <c r="J14" s="123"/>
      <c r="K14" s="124">
        <f t="shared" si="0"/>
        <v>0</v>
      </c>
      <c r="L14" s="125"/>
      <c r="M14" s="123"/>
      <c r="N14" s="124">
        <f t="shared" si="1"/>
        <v>0</v>
      </c>
      <c r="O14" s="125"/>
      <c r="P14" s="126">
        <f t="shared" si="2"/>
        <v>0</v>
      </c>
      <c r="Q14" s="125"/>
      <c r="R14" s="126">
        <f t="shared" si="3"/>
        <v>0</v>
      </c>
      <c r="S14" s="15"/>
    </row>
    <row r="15" spans="1:19" s="16" customFormat="1" ht="19.5" customHeight="1" x14ac:dyDescent="0.35">
      <c r="A15" s="15"/>
      <c r="B15" s="112">
        <v>8</v>
      </c>
      <c r="C15" s="109"/>
      <c r="D15" s="110"/>
      <c r="E15" s="107"/>
      <c r="F15" s="108"/>
      <c r="G15" s="107"/>
      <c r="H15" s="122">
        <f t="shared" si="4"/>
        <v>0</v>
      </c>
      <c r="I15" s="107"/>
      <c r="J15" s="123"/>
      <c r="K15" s="124">
        <f t="shared" si="0"/>
        <v>0</v>
      </c>
      <c r="L15" s="125"/>
      <c r="M15" s="123"/>
      <c r="N15" s="124">
        <f t="shared" si="1"/>
        <v>0</v>
      </c>
      <c r="O15" s="125"/>
      <c r="P15" s="126">
        <f t="shared" si="2"/>
        <v>0</v>
      </c>
      <c r="Q15" s="125"/>
      <c r="R15" s="126">
        <f t="shared" si="3"/>
        <v>0</v>
      </c>
      <c r="S15" s="15"/>
    </row>
    <row r="16" spans="1:19" s="16" customFormat="1" ht="19.5" customHeight="1" x14ac:dyDescent="0.35">
      <c r="A16" s="15"/>
      <c r="B16" s="112">
        <v>9</v>
      </c>
      <c r="C16" s="109"/>
      <c r="D16" s="110"/>
      <c r="E16" s="107"/>
      <c r="F16" s="108"/>
      <c r="G16" s="107"/>
      <c r="H16" s="122">
        <f t="shared" si="4"/>
        <v>0</v>
      </c>
      <c r="I16" s="107"/>
      <c r="J16" s="123"/>
      <c r="K16" s="124">
        <f t="shared" si="0"/>
        <v>0</v>
      </c>
      <c r="L16" s="125"/>
      <c r="M16" s="123"/>
      <c r="N16" s="124">
        <f t="shared" si="1"/>
        <v>0</v>
      </c>
      <c r="O16" s="125"/>
      <c r="P16" s="126">
        <f t="shared" si="2"/>
        <v>0</v>
      </c>
      <c r="Q16" s="125"/>
      <c r="R16" s="126">
        <f t="shared" si="3"/>
        <v>0</v>
      </c>
      <c r="S16" s="15"/>
    </row>
    <row r="17" spans="1:19" s="16" customFormat="1" ht="19.5" customHeight="1" x14ac:dyDescent="0.35">
      <c r="A17" s="15"/>
      <c r="B17" s="112">
        <v>10</v>
      </c>
      <c r="C17" s="109"/>
      <c r="D17" s="110"/>
      <c r="E17" s="107"/>
      <c r="F17" s="108"/>
      <c r="G17" s="107"/>
      <c r="H17" s="122">
        <f t="shared" si="4"/>
        <v>0</v>
      </c>
      <c r="I17" s="107"/>
      <c r="J17" s="123"/>
      <c r="K17" s="124">
        <f t="shared" si="0"/>
        <v>0</v>
      </c>
      <c r="L17" s="125"/>
      <c r="M17" s="123"/>
      <c r="N17" s="124">
        <f t="shared" si="1"/>
        <v>0</v>
      </c>
      <c r="O17" s="125"/>
      <c r="P17" s="126">
        <f t="shared" si="2"/>
        <v>0</v>
      </c>
      <c r="Q17" s="125"/>
      <c r="R17" s="126">
        <f t="shared" si="3"/>
        <v>0</v>
      </c>
      <c r="S17" s="15"/>
    </row>
    <row r="18" spans="1:19" s="16" customFormat="1" ht="9.9499999999999993" customHeight="1" thickBot="1" x14ac:dyDescent="0.4">
      <c r="A18" s="15"/>
      <c r="B18" s="107"/>
      <c r="C18" s="251"/>
      <c r="D18" s="251"/>
      <c r="E18" s="107"/>
      <c r="F18" s="107"/>
      <c r="G18" s="107"/>
      <c r="H18" s="137"/>
      <c r="I18" s="107"/>
      <c r="J18" s="151"/>
      <c r="K18" s="151"/>
      <c r="L18" s="139"/>
      <c r="M18" s="151"/>
      <c r="N18" s="151"/>
      <c r="O18" s="139"/>
      <c r="P18" s="140"/>
      <c r="Q18" s="139"/>
      <c r="R18" s="141"/>
      <c r="S18" s="15"/>
    </row>
    <row r="19" spans="1:19" s="16" customFormat="1" ht="22.5" thickTop="1" thickBot="1" x14ac:dyDescent="0.4">
      <c r="A19" s="15"/>
      <c r="B19" s="226" t="s">
        <v>17</v>
      </c>
      <c r="C19" s="227"/>
      <c r="D19" s="228"/>
      <c r="E19" s="133"/>
      <c r="F19" s="142">
        <f>Obra_Pintura*$O$2</f>
        <v>3476.0000000000005</v>
      </c>
      <c r="G19" s="107"/>
      <c r="H19" s="184">
        <f>SUM(H8:H17)</f>
        <v>3476</v>
      </c>
      <c r="I19" s="107"/>
      <c r="J19" s="143" t="s">
        <v>79</v>
      </c>
      <c r="K19" s="144">
        <f>SUM(K8:K17)</f>
        <v>3160</v>
      </c>
      <c r="L19" s="145"/>
      <c r="M19" s="143" t="s">
        <v>80</v>
      </c>
      <c r="N19" s="144">
        <f>SUM(N8:N17)</f>
        <v>0</v>
      </c>
      <c r="O19" s="146"/>
      <c r="P19" s="147">
        <f>SUM(P8:P18)</f>
        <v>3160</v>
      </c>
      <c r="Q19" s="146"/>
      <c r="R19" s="147">
        <f>SUM(R8:R17)</f>
        <v>316.00000000000017</v>
      </c>
      <c r="S19" s="15"/>
    </row>
    <row r="20" spans="1:19" ht="39.950000000000003" customHeight="1" thickTop="1" x14ac:dyDescent="0.35">
      <c r="A20" s="4"/>
      <c r="B20" s="4"/>
      <c r="C20" s="4"/>
      <c r="D20" s="4"/>
      <c r="E20" s="4"/>
      <c r="F20" s="4"/>
      <c r="G20" s="15"/>
      <c r="H20" s="15"/>
      <c r="I20" s="15"/>
      <c r="J20" s="4"/>
      <c r="K20" s="4"/>
      <c r="L20" s="4"/>
      <c r="M20" s="4"/>
      <c r="N20" s="4"/>
      <c r="O20" s="4"/>
      <c r="P20" s="4"/>
      <c r="Q20" s="4"/>
      <c r="R20" s="4"/>
      <c r="S20" s="4"/>
    </row>
  </sheetData>
  <mergeCells count="11">
    <mergeCell ref="J6:K6"/>
    <mergeCell ref="M6:N6"/>
    <mergeCell ref="J2:M4"/>
    <mergeCell ref="N2:N4"/>
    <mergeCell ref="O2:R4"/>
    <mergeCell ref="H2:H4"/>
    <mergeCell ref="B2:B4"/>
    <mergeCell ref="C2:F4"/>
    <mergeCell ref="C18:D18"/>
    <mergeCell ref="B19:D19"/>
    <mergeCell ref="B6:C6"/>
  </mergeCells>
  <printOptions horizontalCentered="1"/>
  <pageMargins left="0.39370078740157483" right="0.39370078740157483" top="0.74803149606299213" bottom="0.74803149606299213" header="0.31496062992125984" footer="0.31496062992125984"/>
  <pageSetup paperSize="9" scale="7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15"/>
  <sheetViews>
    <sheetView view="pageBreakPreview" zoomScale="85" zoomScaleNormal="70" zoomScaleSheetLayoutView="85" workbookViewId="0">
      <selection activeCell="D18" sqref="D18"/>
    </sheetView>
  </sheetViews>
  <sheetFormatPr baseColWidth="10" defaultColWidth="11.42578125" defaultRowHeight="15.75" x14ac:dyDescent="0.25"/>
  <cols>
    <col min="1" max="1" width="2.85546875" style="1" customWidth="1"/>
    <col min="2" max="2" width="15.7109375" style="1" customWidth="1"/>
    <col min="3" max="3" width="22.85546875" style="1" bestFit="1" customWidth="1"/>
    <col min="4" max="4" width="78.28515625" style="1" bestFit="1" customWidth="1"/>
    <col min="5" max="5" width="2.7109375" style="1" customWidth="1"/>
    <col min="6" max="6" width="21" style="1" bestFit="1" customWidth="1"/>
    <col min="7" max="7" width="25.5703125" style="1" bestFit="1" customWidth="1"/>
    <col min="8" max="9" width="2.85546875" style="1" customWidth="1"/>
    <col min="10" max="13" width="20.7109375" style="1" customWidth="1"/>
    <col min="14" max="14" width="2.85546875" style="1" customWidth="1"/>
    <col min="15" max="16384" width="11.42578125" style="1"/>
  </cols>
  <sheetData>
    <row r="1" spans="1:15" ht="20.25" thickBot="1" x14ac:dyDescent="0.4">
      <c r="A1" s="19"/>
      <c r="B1" s="15"/>
      <c r="C1" s="15"/>
      <c r="D1" s="15"/>
      <c r="E1" s="15"/>
      <c r="F1" s="15"/>
      <c r="G1" s="15"/>
      <c r="H1" s="15"/>
      <c r="I1" s="29"/>
      <c r="J1" s="29"/>
      <c r="K1" s="29"/>
      <c r="L1" s="29"/>
      <c r="M1" s="29"/>
      <c r="N1" s="29"/>
      <c r="O1" s="79"/>
    </row>
    <row r="2" spans="1:15" ht="14.25" customHeight="1" thickTop="1" x14ac:dyDescent="0.35">
      <c r="A2" s="15"/>
      <c r="B2" s="323" t="s">
        <v>37</v>
      </c>
      <c r="C2" s="323"/>
      <c r="D2" s="324"/>
      <c r="E2" s="256" t="str">
        <f>Proyecto</f>
        <v>REFORMA INTEGRAL DE ….</v>
      </c>
      <c r="F2" s="256"/>
      <c r="G2" s="256"/>
      <c r="H2" s="15"/>
      <c r="I2" s="76"/>
      <c r="J2" s="330"/>
      <c r="K2" s="331"/>
      <c r="L2" s="331"/>
      <c r="M2" s="332"/>
      <c r="N2" s="76"/>
      <c r="O2" s="79"/>
    </row>
    <row r="3" spans="1:15" ht="19.5" x14ac:dyDescent="0.35">
      <c r="A3" s="15"/>
      <c r="B3" s="325"/>
      <c r="C3" s="325"/>
      <c r="D3" s="325"/>
      <c r="E3" s="257"/>
      <c r="F3" s="257"/>
      <c r="G3" s="257"/>
      <c r="H3" s="15"/>
      <c r="I3" s="76"/>
      <c r="J3" s="333"/>
      <c r="K3" s="334"/>
      <c r="L3" s="334"/>
      <c r="M3" s="335"/>
      <c r="N3" s="76"/>
      <c r="O3" s="79"/>
    </row>
    <row r="4" spans="1:15" ht="20.25" thickBot="1" x14ac:dyDescent="0.4">
      <c r="A4" s="15"/>
      <c r="B4" s="326"/>
      <c r="C4" s="326"/>
      <c r="D4" s="326"/>
      <c r="E4" s="258"/>
      <c r="F4" s="258"/>
      <c r="G4" s="258"/>
      <c r="H4" s="15"/>
      <c r="I4" s="76"/>
      <c r="J4" s="327" t="s">
        <v>25</v>
      </c>
      <c r="K4" s="327"/>
      <c r="L4" s="327" t="s">
        <v>26</v>
      </c>
      <c r="M4" s="327"/>
      <c r="N4" s="76"/>
      <c r="O4" s="79"/>
    </row>
    <row r="5" spans="1:15" ht="9.9499999999999993" customHeight="1" thickTop="1" x14ac:dyDescent="0.35">
      <c r="A5" s="15"/>
      <c r="B5" s="15"/>
      <c r="C5" s="15"/>
      <c r="D5" s="18"/>
      <c r="E5" s="18"/>
      <c r="F5" s="18"/>
      <c r="G5" s="15"/>
      <c r="H5" s="15"/>
      <c r="I5" s="76"/>
      <c r="J5" s="327"/>
      <c r="K5" s="327"/>
      <c r="L5" s="327"/>
      <c r="M5" s="327"/>
      <c r="N5" s="76"/>
      <c r="O5" s="79"/>
    </row>
    <row r="6" spans="1:15" ht="21" x14ac:dyDescent="0.35">
      <c r="A6" s="15"/>
      <c r="B6" s="69" t="s">
        <v>22</v>
      </c>
      <c r="C6" s="70" t="s">
        <v>31</v>
      </c>
      <c r="D6" s="71" t="s">
        <v>38</v>
      </c>
      <c r="E6" s="72"/>
      <c r="F6" s="73" t="s">
        <v>28</v>
      </c>
      <c r="G6" s="73" t="s">
        <v>0</v>
      </c>
      <c r="H6" s="15"/>
      <c r="I6" s="76"/>
      <c r="J6" s="328" t="s">
        <v>23</v>
      </c>
      <c r="K6" s="328" t="s">
        <v>24</v>
      </c>
      <c r="L6" s="329" t="s">
        <v>23</v>
      </c>
      <c r="M6" s="328" t="s">
        <v>24</v>
      </c>
      <c r="N6" s="76"/>
      <c r="O6" s="79"/>
    </row>
    <row r="7" spans="1:15" ht="9.9499999999999993" customHeight="1" x14ac:dyDescent="0.35">
      <c r="A7" s="15"/>
      <c r="B7" s="15"/>
      <c r="C7" s="15"/>
      <c r="D7" s="17"/>
      <c r="E7" s="17"/>
      <c r="F7" s="17"/>
      <c r="G7" s="16"/>
      <c r="H7" s="15"/>
      <c r="I7" s="76"/>
      <c r="J7" s="328"/>
      <c r="K7" s="328"/>
      <c r="L7" s="329"/>
      <c r="M7" s="328"/>
      <c r="N7" s="76"/>
      <c r="O7" s="79"/>
    </row>
    <row r="8" spans="1:15" ht="39.950000000000003" customHeight="1" x14ac:dyDescent="0.35">
      <c r="A8" s="15"/>
      <c r="B8" s="88">
        <v>1</v>
      </c>
      <c r="C8" s="90">
        <v>41981</v>
      </c>
      <c r="D8" s="91" t="s">
        <v>39</v>
      </c>
      <c r="E8" s="67"/>
      <c r="F8" s="92">
        <v>0.3</v>
      </c>
      <c r="G8" s="93">
        <f>Total_Resumen*F8</f>
        <v>12408.555060000001</v>
      </c>
      <c r="H8" s="15"/>
      <c r="I8" s="76"/>
      <c r="J8" s="74">
        <f>G8</f>
        <v>12408.555060000001</v>
      </c>
      <c r="K8" s="68">
        <f>$J8/Total_Resumen</f>
        <v>0.3</v>
      </c>
      <c r="L8" s="75">
        <f>Total_Resumen-$G8</f>
        <v>28953.295140000002</v>
      </c>
      <c r="M8" s="68">
        <f>$L8/Total_Resumen</f>
        <v>0.70000000000000007</v>
      </c>
      <c r="N8" s="76"/>
      <c r="O8" s="79"/>
    </row>
    <row r="9" spans="1:15" ht="39.950000000000003" customHeight="1" x14ac:dyDescent="0.35">
      <c r="A9" s="15"/>
      <c r="B9" s="88">
        <v>2</v>
      </c>
      <c r="C9" s="90">
        <v>41995</v>
      </c>
      <c r="D9" s="91" t="s">
        <v>81</v>
      </c>
      <c r="E9" s="67"/>
      <c r="F9" s="92">
        <v>0.15</v>
      </c>
      <c r="G9" s="93">
        <f>Total_Resumen*F9</f>
        <v>6204.2775300000003</v>
      </c>
      <c r="H9" s="15"/>
      <c r="I9" s="76"/>
      <c r="J9" s="74">
        <f>J8+G9</f>
        <v>18612.832590000002</v>
      </c>
      <c r="K9" s="68">
        <f>$J9/Total_Resumen</f>
        <v>0.45</v>
      </c>
      <c r="L9" s="75">
        <f>Total_Resumen-$G9</f>
        <v>35157.572670000001</v>
      </c>
      <c r="M9" s="68">
        <f>$L9/Total_Resumen</f>
        <v>0.85</v>
      </c>
      <c r="N9" s="76"/>
      <c r="O9" s="79"/>
    </row>
    <row r="10" spans="1:15" ht="39.950000000000003" customHeight="1" x14ac:dyDescent="0.35">
      <c r="A10" s="15"/>
      <c r="B10" s="88">
        <v>3</v>
      </c>
      <c r="C10" s="90">
        <v>42016</v>
      </c>
      <c r="D10" s="91" t="s">
        <v>82</v>
      </c>
      <c r="E10" s="67"/>
      <c r="F10" s="92">
        <v>0.3</v>
      </c>
      <c r="G10" s="93">
        <f>Total_Resumen*F10</f>
        <v>12408.555060000001</v>
      </c>
      <c r="H10" s="15"/>
      <c r="I10" s="76"/>
      <c r="J10" s="74">
        <f>J9+G10</f>
        <v>31021.387650000004</v>
      </c>
      <c r="K10" s="68">
        <f>$J10/Total_Resumen</f>
        <v>0.75000000000000011</v>
      </c>
      <c r="L10" s="75">
        <f>Total_Resumen-$G10</f>
        <v>28953.295140000002</v>
      </c>
      <c r="M10" s="68">
        <f>$L10/Total_Resumen</f>
        <v>0.70000000000000007</v>
      </c>
      <c r="N10" s="76"/>
      <c r="O10" s="79"/>
    </row>
    <row r="11" spans="1:15" ht="39.950000000000003" customHeight="1" x14ac:dyDescent="0.35">
      <c r="A11" s="15"/>
      <c r="B11" s="88">
        <v>4</v>
      </c>
      <c r="C11" s="90">
        <v>42030</v>
      </c>
      <c r="D11" s="91" t="s">
        <v>83</v>
      </c>
      <c r="E11" s="67"/>
      <c r="F11" s="92">
        <v>0.15</v>
      </c>
      <c r="G11" s="93">
        <f>Total_Resumen*F11</f>
        <v>6204.2775300000003</v>
      </c>
      <c r="H11" s="15"/>
      <c r="I11" s="76"/>
      <c r="J11" s="74">
        <f>J10+G11</f>
        <v>37225.665180000004</v>
      </c>
      <c r="K11" s="68">
        <f>$J11/Total_Resumen</f>
        <v>0.9</v>
      </c>
      <c r="L11" s="75">
        <f>Total_Resumen-$G11</f>
        <v>35157.572670000001</v>
      </c>
      <c r="M11" s="68">
        <f>$L11/Total_Resumen</f>
        <v>0.85</v>
      </c>
      <c r="N11" s="76"/>
      <c r="O11" s="79"/>
    </row>
    <row r="12" spans="1:15" ht="39.950000000000003" customHeight="1" x14ac:dyDescent="0.35">
      <c r="A12" s="15"/>
      <c r="B12" s="88">
        <v>5</v>
      </c>
      <c r="C12" s="90">
        <v>42044</v>
      </c>
      <c r="D12" s="91" t="s">
        <v>40</v>
      </c>
      <c r="E12" s="67"/>
      <c r="F12" s="92">
        <f>($G12*1/Total_Resumen)</f>
        <v>9.9999999999999936E-2</v>
      </c>
      <c r="G12" s="93">
        <f>Total_Resumen-(G8+G9+G10+G11)</f>
        <v>4136.1850199999972</v>
      </c>
      <c r="H12" s="15"/>
      <c r="I12" s="14"/>
      <c r="J12" s="74">
        <f>J11+G12</f>
        <v>41361.850200000001</v>
      </c>
      <c r="K12" s="68">
        <f>$J12/Total_Resumen</f>
        <v>1</v>
      </c>
      <c r="L12" s="75">
        <f>Total_Resumen-$G12</f>
        <v>37225.665180000004</v>
      </c>
      <c r="M12" s="68">
        <f>$L12/Total_Resumen</f>
        <v>0.9</v>
      </c>
      <c r="N12" s="13"/>
      <c r="O12" s="79"/>
    </row>
    <row r="13" spans="1:15" ht="9.9499999999999993" customHeight="1" x14ac:dyDescent="0.35">
      <c r="A13" s="15"/>
      <c r="B13" s="15"/>
      <c r="C13" s="15"/>
      <c r="D13" s="322"/>
      <c r="E13" s="322"/>
      <c r="F13" s="322"/>
      <c r="G13" s="15"/>
      <c r="H13" s="15"/>
      <c r="I13" s="76"/>
      <c r="J13" s="77"/>
      <c r="K13" s="76"/>
      <c r="L13" s="78"/>
      <c r="M13" s="76"/>
      <c r="N13" s="76"/>
      <c r="O13" s="79"/>
    </row>
    <row r="14" spans="1:15" s="103" customFormat="1" ht="39.950000000000003" customHeight="1" x14ac:dyDescent="0.25">
      <c r="A14" s="94"/>
      <c r="B14" s="95"/>
      <c r="C14" s="96"/>
      <c r="D14" s="97" t="s">
        <v>2</v>
      </c>
      <c r="E14" s="98"/>
      <c r="F14" s="99">
        <f>SUM(F8:F12)</f>
        <v>1</v>
      </c>
      <c r="G14" s="100">
        <f>SUM(G8:G12)</f>
        <v>41361.850200000001</v>
      </c>
      <c r="H14" s="94"/>
      <c r="I14" s="101"/>
      <c r="J14" s="319"/>
      <c r="K14" s="320"/>
      <c r="L14" s="320"/>
      <c r="M14" s="321"/>
      <c r="N14" s="101"/>
      <c r="O14" s="102"/>
    </row>
    <row r="15" spans="1:15" ht="19.5" x14ac:dyDescent="0.35">
      <c r="A15" s="15"/>
      <c r="B15" s="21"/>
      <c r="C15" s="21"/>
      <c r="D15" s="21"/>
      <c r="E15" s="21"/>
      <c r="F15" s="21"/>
      <c r="G15" s="15"/>
      <c r="H15" s="15"/>
      <c r="I15" s="29"/>
      <c r="J15" s="29"/>
      <c r="K15" s="29"/>
      <c r="L15" s="29"/>
      <c r="M15" s="29"/>
      <c r="N15" s="29"/>
    </row>
  </sheetData>
  <mergeCells count="11">
    <mergeCell ref="J14:M14"/>
    <mergeCell ref="D13:F13"/>
    <mergeCell ref="B2:D4"/>
    <mergeCell ref="E2:G4"/>
    <mergeCell ref="J4:K5"/>
    <mergeCell ref="L4:M5"/>
    <mergeCell ref="J6:J7"/>
    <mergeCell ref="K6:K7"/>
    <mergeCell ref="L6:L7"/>
    <mergeCell ref="M6:M7"/>
    <mergeCell ref="J2:M3"/>
  </mergeCells>
  <printOptions horizontalCentered="1"/>
  <pageMargins left="0.39370078740157483" right="0.39370078740157483" top="0.74803149606299213" bottom="0.74803149606299213" header="0.31496062992125984" footer="0.31496062992125984"/>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2"/>
  <sheetViews>
    <sheetView view="pageBreakPreview" zoomScale="60" zoomScaleNormal="55" workbookViewId="0">
      <selection activeCell="L34" sqref="L34"/>
    </sheetView>
  </sheetViews>
  <sheetFormatPr baseColWidth="10" defaultColWidth="11.42578125" defaultRowHeight="15.75" x14ac:dyDescent="0.25"/>
  <cols>
    <col min="1" max="1" width="2.85546875" style="1" customWidth="1"/>
    <col min="2" max="2" width="11.42578125" style="1" customWidth="1"/>
    <col min="3" max="3" width="2.85546875" style="1" customWidth="1"/>
    <col min="4" max="4" width="2.28515625" style="1" bestFit="1" customWidth="1"/>
    <col min="5" max="5" width="43.7109375" style="1" customWidth="1"/>
    <col min="6" max="6" width="2.7109375" style="1" customWidth="1"/>
    <col min="7" max="7" width="43.7109375" style="1" customWidth="1"/>
    <col min="8" max="8" width="10.7109375" style="1" customWidth="1"/>
    <col min="9" max="9" width="2.85546875" style="1" customWidth="1"/>
    <col min="10" max="10" width="11.42578125" style="1"/>
    <col min="11" max="11" width="2.85546875" style="1" customWidth="1"/>
    <col min="12" max="16384" width="11.42578125" style="1"/>
  </cols>
  <sheetData>
    <row r="1" spans="1:11" s="32" customFormat="1" ht="17.850000000000001" customHeight="1" x14ac:dyDescent="0.3">
      <c r="A1" s="10"/>
      <c r="B1" s="10"/>
      <c r="C1" s="10"/>
      <c r="D1" s="10"/>
      <c r="E1" s="10"/>
      <c r="F1" s="10"/>
      <c r="G1" s="11"/>
      <c r="H1" s="11"/>
      <c r="I1" s="10"/>
      <c r="J1" s="65"/>
      <c r="K1" s="10"/>
    </row>
    <row r="2" spans="1:11" s="32" customFormat="1" ht="17.850000000000001" customHeight="1" x14ac:dyDescent="0.3">
      <c r="A2" s="10"/>
      <c r="B2" s="10"/>
      <c r="C2" s="10"/>
      <c r="D2" s="10"/>
      <c r="E2" s="10"/>
      <c r="F2" s="10"/>
      <c r="G2" s="11"/>
      <c r="H2" s="11"/>
      <c r="I2" s="10"/>
      <c r="J2" s="65"/>
      <c r="K2" s="10"/>
    </row>
    <row r="3" spans="1:11" s="32" customFormat="1" ht="17.850000000000001" customHeight="1" x14ac:dyDescent="0.3">
      <c r="A3" s="10"/>
      <c r="B3" s="10"/>
      <c r="C3" s="10"/>
      <c r="D3" s="33"/>
      <c r="E3" s="33"/>
      <c r="F3" s="10"/>
      <c r="G3" s="11"/>
      <c r="H3" s="11"/>
      <c r="I3" s="10"/>
      <c r="J3" s="65"/>
      <c r="K3" s="10"/>
    </row>
    <row r="4" spans="1:11" s="32" customFormat="1" ht="17.850000000000001" customHeight="1" x14ac:dyDescent="0.3">
      <c r="A4" s="10"/>
      <c r="B4" s="10"/>
      <c r="C4" s="10"/>
      <c r="D4" s="33"/>
      <c r="E4" s="33"/>
      <c r="F4" s="10"/>
      <c r="G4" s="11"/>
      <c r="H4" s="11"/>
      <c r="I4" s="10"/>
      <c r="J4" s="65"/>
      <c r="K4" s="10"/>
    </row>
    <row r="5" spans="1:11" s="32" customFormat="1" ht="17.850000000000001" customHeight="1" x14ac:dyDescent="0.3">
      <c r="A5" s="10"/>
      <c r="B5" s="10"/>
      <c r="C5" s="10"/>
      <c r="D5" s="33"/>
      <c r="E5" s="33"/>
      <c r="F5" s="10"/>
      <c r="G5" s="11"/>
      <c r="H5" s="11"/>
      <c r="I5" s="10"/>
      <c r="J5" s="65"/>
      <c r="K5" s="10"/>
    </row>
    <row r="6" spans="1:11" s="32" customFormat="1" ht="17.850000000000001" customHeight="1" x14ac:dyDescent="0.3">
      <c r="A6" s="10"/>
      <c r="B6" s="10"/>
      <c r="C6" s="10"/>
      <c r="D6" s="33"/>
      <c r="E6" s="33"/>
      <c r="F6" s="10"/>
      <c r="G6" s="11"/>
      <c r="H6" s="11"/>
      <c r="I6" s="10"/>
      <c r="J6" s="65"/>
      <c r="K6" s="10"/>
    </row>
    <row r="7" spans="1:11" s="32" customFormat="1" ht="17.850000000000001" customHeight="1" x14ac:dyDescent="0.3">
      <c r="A7" s="10"/>
      <c r="B7" s="10"/>
      <c r="C7" s="10"/>
      <c r="D7" s="33"/>
      <c r="E7" s="33"/>
      <c r="F7" s="34"/>
      <c r="G7" s="34"/>
      <c r="H7" s="34"/>
      <c r="I7" s="34"/>
      <c r="J7" s="65"/>
      <c r="K7" s="34"/>
    </row>
    <row r="8" spans="1:11" s="32" customFormat="1" ht="17.850000000000001" customHeight="1" x14ac:dyDescent="0.3">
      <c r="A8" s="10"/>
      <c r="B8" s="10"/>
      <c r="C8" s="10"/>
      <c r="D8" s="33"/>
      <c r="E8" s="33"/>
      <c r="F8" s="35"/>
      <c r="G8" s="36"/>
      <c r="H8" s="36"/>
      <c r="I8" s="35"/>
      <c r="J8" s="65"/>
      <c r="K8" s="35"/>
    </row>
    <row r="9" spans="1:11" s="2" customFormat="1" ht="17.850000000000001" customHeight="1" x14ac:dyDescent="0.3">
      <c r="A9" s="4"/>
      <c r="B9" s="4"/>
      <c r="C9" s="4"/>
      <c r="D9" s="33"/>
      <c r="E9" s="33"/>
      <c r="F9" s="37"/>
      <c r="G9" s="38"/>
      <c r="H9" s="38"/>
      <c r="I9" s="38"/>
      <c r="J9" s="29"/>
      <c r="K9" s="38"/>
    </row>
    <row r="10" spans="1:11" s="2" customFormat="1" ht="17.850000000000001" customHeight="1" x14ac:dyDescent="0.3">
      <c r="A10" s="4"/>
      <c r="B10" s="4"/>
      <c r="C10" s="4"/>
      <c r="D10" s="33"/>
      <c r="E10" s="33"/>
      <c r="F10" s="37"/>
      <c r="G10" s="38"/>
      <c r="H10" s="38"/>
      <c r="I10" s="38"/>
      <c r="J10" s="29"/>
      <c r="K10" s="38"/>
    </row>
    <row r="11" spans="1:11" s="2" customFormat="1" ht="17.850000000000001" customHeight="1" x14ac:dyDescent="0.3">
      <c r="A11" s="4"/>
      <c r="B11" s="4"/>
      <c r="C11" s="4"/>
      <c r="D11" s="33"/>
      <c r="E11" s="33"/>
      <c r="F11" s="37"/>
      <c r="G11" s="38"/>
      <c r="H11" s="38"/>
      <c r="I11" s="38"/>
      <c r="J11" s="29"/>
      <c r="K11" s="38"/>
    </row>
    <row r="12" spans="1:11" s="2" customFormat="1" ht="17.850000000000001" customHeight="1" x14ac:dyDescent="0.3">
      <c r="A12" s="4"/>
      <c r="B12" s="4"/>
      <c r="C12" s="4"/>
      <c r="D12" s="51"/>
      <c r="E12" s="338" t="s">
        <v>206</v>
      </c>
      <c r="F12" s="338"/>
      <c r="G12" s="338"/>
      <c r="H12" s="51"/>
      <c r="I12" s="7"/>
      <c r="J12" s="29"/>
      <c r="K12" s="7"/>
    </row>
    <row r="13" spans="1:11" s="2" customFormat="1" ht="17.850000000000001" customHeight="1" x14ac:dyDescent="0.35">
      <c r="A13" s="4"/>
      <c r="B13" s="4"/>
      <c r="C13" s="4"/>
      <c r="D13" s="51"/>
      <c r="E13" s="51"/>
      <c r="F13" s="51"/>
      <c r="G13" s="51"/>
      <c r="H13" s="51"/>
      <c r="I13" s="17"/>
      <c r="J13" s="29"/>
      <c r="K13" s="17"/>
    </row>
    <row r="14" spans="1:11" s="2" customFormat="1" ht="17.850000000000001" customHeight="1" x14ac:dyDescent="0.35">
      <c r="A14" s="4"/>
      <c r="B14" s="4"/>
      <c r="C14" s="4"/>
      <c r="D14" s="51"/>
      <c r="E14" s="342" t="s">
        <v>209</v>
      </c>
      <c r="F14" s="342"/>
      <c r="G14" s="342"/>
      <c r="H14" s="51"/>
      <c r="I14" s="17"/>
      <c r="J14" s="29"/>
      <c r="K14" s="17"/>
    </row>
    <row r="15" spans="1:11" s="2" customFormat="1" ht="21" x14ac:dyDescent="0.35">
      <c r="A15" s="4"/>
      <c r="B15" s="4"/>
      <c r="C15" s="4"/>
      <c r="D15" s="51"/>
      <c r="E15" s="195">
        <f>Total_Resumen</f>
        <v>41361.850200000001</v>
      </c>
      <c r="F15" s="51"/>
      <c r="G15" s="189" t="s">
        <v>62</v>
      </c>
      <c r="H15" s="51"/>
      <c r="I15" s="17"/>
      <c r="J15" s="29"/>
      <c r="K15" s="17"/>
    </row>
    <row r="16" spans="1:11" s="2" customFormat="1" ht="21" x14ac:dyDescent="0.35">
      <c r="A16" s="4"/>
      <c r="B16" s="4"/>
      <c r="C16" s="4"/>
      <c r="D16" s="51"/>
      <c r="E16" s="343" t="s">
        <v>208</v>
      </c>
      <c r="F16" s="343"/>
      <c r="G16" s="343"/>
      <c r="H16" s="51"/>
      <c r="I16" s="17"/>
      <c r="J16" s="29"/>
      <c r="K16" s="17"/>
    </row>
    <row r="17" spans="1:11" s="2" customFormat="1" ht="21" x14ac:dyDescent="0.35">
      <c r="A17" s="4"/>
      <c r="B17" s="4"/>
      <c r="C17" s="4"/>
      <c r="D17" s="51"/>
      <c r="E17" s="343"/>
      <c r="F17" s="343"/>
      <c r="G17" s="343"/>
      <c r="H17" s="51"/>
      <c r="I17" s="17"/>
      <c r="J17" s="29"/>
      <c r="K17" s="17"/>
    </row>
    <row r="18" spans="1:11" s="2" customFormat="1" ht="17.850000000000001" customHeight="1" x14ac:dyDescent="0.35">
      <c r="A18" s="4"/>
      <c r="B18" s="4"/>
      <c r="C18" s="4"/>
      <c r="D18" s="51"/>
      <c r="E18" s="51"/>
      <c r="F18" s="51"/>
      <c r="G18" s="51"/>
      <c r="H18" s="51"/>
      <c r="I18" s="17"/>
      <c r="J18" s="29"/>
      <c r="K18" s="17"/>
    </row>
    <row r="19" spans="1:11" s="2" customFormat="1" ht="17.850000000000001" customHeight="1" x14ac:dyDescent="0.35">
      <c r="A19" s="4"/>
      <c r="B19" s="4"/>
      <c r="C19" s="4"/>
      <c r="D19" s="51"/>
      <c r="E19" s="51"/>
      <c r="F19" s="51"/>
      <c r="G19" s="51"/>
      <c r="H19" s="51"/>
      <c r="I19" s="17"/>
      <c r="J19" s="29"/>
      <c r="K19" s="17"/>
    </row>
    <row r="20" spans="1:11" s="2" customFormat="1" ht="17.850000000000001" customHeight="1" x14ac:dyDescent="0.35">
      <c r="A20" s="4"/>
      <c r="B20" s="4"/>
      <c r="C20" s="4"/>
      <c r="D20" s="42"/>
      <c r="E20" s="41"/>
      <c r="F20" s="41"/>
      <c r="G20" s="41"/>
      <c r="H20" s="41"/>
      <c r="I20" s="17"/>
      <c r="J20" s="29"/>
      <c r="K20" s="17"/>
    </row>
    <row r="21" spans="1:11" s="2" customFormat="1" ht="17.850000000000001" customHeight="1" x14ac:dyDescent="0.35">
      <c r="A21" s="4"/>
      <c r="B21" s="4"/>
      <c r="C21" s="4"/>
      <c r="D21" s="42"/>
      <c r="E21" s="41"/>
      <c r="F21" s="41"/>
      <c r="G21" s="41"/>
      <c r="H21" s="41"/>
      <c r="I21" s="17"/>
      <c r="J21" s="29"/>
      <c r="K21" s="17"/>
    </row>
    <row r="22" spans="1:11" s="2" customFormat="1" ht="17.850000000000001" customHeight="1" thickBot="1" x14ac:dyDescent="0.35">
      <c r="A22" s="4"/>
      <c r="B22" s="4"/>
      <c r="C22" s="4"/>
      <c r="D22" s="7"/>
      <c r="E22" s="52"/>
      <c r="F22" s="38"/>
      <c r="G22" s="52"/>
      <c r="H22" s="38"/>
      <c r="I22" s="7"/>
      <c r="J22" s="29"/>
      <c r="K22" s="7"/>
    </row>
    <row r="23" spans="1:11" s="2" customFormat="1" ht="17.850000000000001" customHeight="1" x14ac:dyDescent="0.35">
      <c r="A23" s="4"/>
      <c r="B23" s="4"/>
      <c r="C23" s="4"/>
      <c r="D23" s="43"/>
      <c r="E23" s="196" t="str">
        <f>XTe_D.O.</f>
        <v>Leo Machicao Barrionuevo</v>
      </c>
      <c r="F23" s="81"/>
      <c r="G23" s="196" t="str">
        <f>Cliente_Nombre</f>
        <v>JUAN PÉREZ</v>
      </c>
      <c r="H23" s="44"/>
      <c r="I23" s="17"/>
      <c r="J23" s="29"/>
      <c r="K23" s="17"/>
    </row>
    <row r="24" spans="1:11" s="2" customFormat="1" ht="17.850000000000001" customHeight="1" x14ac:dyDescent="0.3">
      <c r="A24" s="4"/>
      <c r="B24" s="4"/>
      <c r="C24" s="4"/>
      <c r="D24" s="45"/>
      <c r="E24" s="42" t="s">
        <v>202</v>
      </c>
      <c r="F24" s="42"/>
      <c r="G24" s="42" t="s">
        <v>44</v>
      </c>
      <c r="H24" s="45"/>
      <c r="I24" s="7"/>
      <c r="J24" s="29"/>
      <c r="K24" s="7"/>
    </row>
    <row r="25" spans="1:11" s="2" customFormat="1" ht="17.850000000000001" customHeight="1" x14ac:dyDescent="0.3">
      <c r="A25" s="4"/>
      <c r="B25" s="4"/>
      <c r="C25" s="4"/>
      <c r="D25" s="34"/>
      <c r="E25" s="42" t="str">
        <f>XTe_NIF</f>
        <v>21750937K</v>
      </c>
      <c r="F25" s="34"/>
      <c r="G25" s="42" t="str">
        <f>Cliente_NIF_CIF</f>
        <v>A123456789</v>
      </c>
      <c r="H25" s="34"/>
      <c r="I25" s="34"/>
      <c r="J25" s="64"/>
      <c r="K25" s="34"/>
    </row>
    <row r="26" spans="1:11" s="2" customFormat="1" ht="17.25" customHeight="1" x14ac:dyDescent="0.3">
      <c r="A26" s="4"/>
      <c r="B26" s="4"/>
      <c r="C26" s="4"/>
      <c r="D26" s="34"/>
      <c r="E26" s="45"/>
      <c r="F26" s="34"/>
      <c r="G26" s="53"/>
      <c r="H26" s="34"/>
      <c r="I26" s="34"/>
      <c r="J26" s="64"/>
      <c r="K26" s="34"/>
    </row>
    <row r="27" spans="1:11" s="2" customFormat="1" ht="17.850000000000001" customHeight="1" x14ac:dyDescent="0.3">
      <c r="A27" s="7"/>
      <c r="B27" s="7"/>
      <c r="C27" s="7"/>
      <c r="D27" s="38"/>
      <c r="E27" s="38"/>
      <c r="F27" s="38"/>
      <c r="G27" s="38"/>
      <c r="H27" s="38"/>
      <c r="I27" s="38"/>
      <c r="J27" s="29"/>
      <c r="K27" s="38"/>
    </row>
    <row r="28" spans="1:11" s="2" customFormat="1" ht="17.850000000000001" customHeight="1" x14ac:dyDescent="0.3">
      <c r="A28" s="4"/>
      <c r="B28" s="4"/>
      <c r="C28" s="4"/>
      <c r="D28" s="49"/>
      <c r="E28" s="339" t="s">
        <v>45</v>
      </c>
      <c r="F28" s="339"/>
      <c r="G28" s="339"/>
      <c r="H28" s="49"/>
      <c r="I28" s="49"/>
      <c r="J28" s="29"/>
      <c r="K28" s="49"/>
    </row>
    <row r="29" spans="1:11" s="2" customFormat="1" ht="19.5" x14ac:dyDescent="0.3">
      <c r="A29" s="4"/>
      <c r="B29" s="4"/>
      <c r="C29" s="4"/>
      <c r="D29" s="191"/>
      <c r="E29" s="340" t="s">
        <v>69</v>
      </c>
      <c r="F29" s="340"/>
      <c r="G29" s="340"/>
      <c r="H29" s="49"/>
      <c r="I29" s="49"/>
      <c r="J29" s="29"/>
      <c r="K29" s="49"/>
    </row>
    <row r="30" spans="1:11" s="2" customFormat="1" ht="42.75" customHeight="1" x14ac:dyDescent="0.3">
      <c r="A30" s="4"/>
      <c r="B30" s="4"/>
      <c r="C30" s="4"/>
      <c r="D30" s="191" t="s">
        <v>203</v>
      </c>
      <c r="E30" s="341" t="s">
        <v>204</v>
      </c>
      <c r="F30" s="341"/>
      <c r="G30" s="341"/>
      <c r="H30" s="49"/>
      <c r="I30" s="49"/>
      <c r="J30" s="29"/>
      <c r="K30" s="49"/>
    </row>
    <row r="31" spans="1:11" s="2" customFormat="1" ht="19.5" x14ac:dyDescent="0.3">
      <c r="A31" s="4"/>
      <c r="B31" s="4"/>
      <c r="C31" s="4"/>
      <c r="D31" s="191" t="s">
        <v>203</v>
      </c>
      <c r="E31" s="341" t="s">
        <v>205</v>
      </c>
      <c r="F31" s="341"/>
      <c r="G31" s="341"/>
      <c r="H31" s="49"/>
      <c r="I31" s="49"/>
      <c r="J31" s="29"/>
      <c r="K31" s="49"/>
    </row>
    <row r="32" spans="1:11" s="2" customFormat="1" ht="42.75" customHeight="1" x14ac:dyDescent="0.3">
      <c r="A32" s="4"/>
      <c r="B32" s="4"/>
      <c r="C32" s="4"/>
      <c r="D32" s="191" t="s">
        <v>203</v>
      </c>
      <c r="E32" s="336" t="s">
        <v>210</v>
      </c>
      <c r="F32" s="336"/>
      <c r="G32" s="336"/>
      <c r="H32" s="49"/>
      <c r="I32" s="49"/>
      <c r="J32" s="29"/>
      <c r="K32" s="49"/>
    </row>
    <row r="33" spans="1:11" s="2" customFormat="1" ht="17.850000000000001" customHeight="1" x14ac:dyDescent="0.3">
      <c r="A33" s="4"/>
      <c r="B33" s="4"/>
      <c r="C33" s="4"/>
      <c r="D33" s="49"/>
      <c r="E33" s="337" t="s">
        <v>207</v>
      </c>
      <c r="F33" s="337"/>
      <c r="G33" s="337"/>
      <c r="H33" s="49"/>
      <c r="I33" s="49"/>
      <c r="J33" s="29"/>
      <c r="K33" s="49"/>
    </row>
    <row r="34" spans="1:11" ht="19.5" x14ac:dyDescent="0.35">
      <c r="A34" s="29"/>
      <c r="B34" s="29"/>
      <c r="C34" s="29"/>
      <c r="D34" s="197"/>
      <c r="E34" s="193" t="s">
        <v>68</v>
      </c>
      <c r="F34" s="192"/>
      <c r="G34" s="194" t="str">
        <f>XTe_Beneficiario</f>
        <v>Leo Machicao Barrionuevo</v>
      </c>
      <c r="H34" s="15"/>
      <c r="J34" s="29"/>
    </row>
    <row r="35" spans="1:11" ht="19.5" x14ac:dyDescent="0.35">
      <c r="A35" s="29"/>
      <c r="B35" s="29"/>
      <c r="C35" s="29"/>
      <c r="D35" s="197"/>
      <c r="E35" s="193" t="s">
        <v>70</v>
      </c>
      <c r="F35" s="192"/>
      <c r="G35" s="194" t="str">
        <f>XTe_Banco</f>
        <v>EVO Banco</v>
      </c>
      <c r="H35" s="15"/>
      <c r="I35" s="29"/>
      <c r="J35" s="29"/>
      <c r="K35" s="29"/>
    </row>
    <row r="36" spans="1:11" ht="19.5" x14ac:dyDescent="0.35">
      <c r="A36" s="29"/>
      <c r="B36" s="29"/>
      <c r="C36" s="29"/>
      <c r="D36" s="197"/>
      <c r="E36" s="193" t="s">
        <v>65</v>
      </c>
      <c r="F36" s="192"/>
      <c r="G36" s="194" t="str">
        <f>XTe_cuenta</f>
        <v>0239 2062 77 0044490720</v>
      </c>
      <c r="H36" s="15"/>
      <c r="I36" s="29"/>
      <c r="J36" s="29"/>
      <c r="K36" s="29"/>
    </row>
    <row r="37" spans="1:11" ht="19.5" x14ac:dyDescent="0.35">
      <c r="A37" s="29"/>
      <c r="B37" s="29"/>
      <c r="C37" s="29"/>
      <c r="D37" s="197"/>
      <c r="E37" s="193" t="s">
        <v>66</v>
      </c>
      <c r="F37" s="192"/>
      <c r="G37" s="194" t="str">
        <f>XTe_Código_IBAN</f>
        <v>ES24 0239 2062 7700 4449 0720</v>
      </c>
      <c r="H37" s="15"/>
      <c r="I37" s="29"/>
      <c r="J37" s="29"/>
      <c r="K37" s="29"/>
    </row>
    <row r="38" spans="1:11" ht="19.5" x14ac:dyDescent="0.35">
      <c r="A38" s="29"/>
      <c r="B38" s="29"/>
      <c r="C38" s="29"/>
      <c r="D38" s="197"/>
      <c r="E38" s="193" t="s">
        <v>67</v>
      </c>
      <c r="F38" s="192"/>
      <c r="G38" s="194" t="str">
        <f>XTe_Código_SWIFT</f>
        <v>EVOBESMMXXX</v>
      </c>
      <c r="H38" s="15"/>
      <c r="I38" s="29"/>
      <c r="J38" s="29"/>
      <c r="K38" s="29"/>
    </row>
    <row r="39" spans="1:11" x14ac:dyDescent="0.25">
      <c r="A39" s="29"/>
      <c r="B39" s="29"/>
      <c r="C39" s="29"/>
      <c r="D39" s="29"/>
      <c r="E39" s="164"/>
      <c r="F39" s="164"/>
      <c r="G39" s="164"/>
      <c r="H39" s="29"/>
      <c r="I39" s="29"/>
      <c r="J39" s="29"/>
      <c r="K39" s="29"/>
    </row>
    <row r="40" spans="1:11" x14ac:dyDescent="0.25">
      <c r="A40" s="29"/>
      <c r="B40" s="29"/>
      <c r="C40" s="29"/>
      <c r="D40" s="29"/>
      <c r="E40" s="164"/>
      <c r="F40" s="164"/>
      <c r="G40" s="164"/>
      <c r="H40" s="29"/>
      <c r="I40" s="29"/>
      <c r="J40" s="29"/>
      <c r="K40" s="29"/>
    </row>
    <row r="41" spans="1:11" x14ac:dyDescent="0.25">
      <c r="A41" s="29"/>
      <c r="B41" s="29"/>
      <c r="C41" s="29"/>
      <c r="D41" s="29"/>
      <c r="E41" s="29"/>
      <c r="F41" s="29"/>
      <c r="G41" s="29"/>
      <c r="H41" s="29"/>
      <c r="I41" s="29"/>
      <c r="J41" s="29"/>
      <c r="K41" s="29"/>
    </row>
    <row r="42" spans="1:11" x14ac:dyDescent="0.25">
      <c r="A42" s="2"/>
      <c r="B42" s="2"/>
      <c r="C42" s="2"/>
      <c r="D42" s="2"/>
      <c r="E42" s="2"/>
      <c r="F42" s="2"/>
      <c r="G42" s="2"/>
      <c r="H42" s="2"/>
      <c r="I42" s="2"/>
      <c r="J42" s="2"/>
      <c r="K42" s="2"/>
    </row>
  </sheetData>
  <mergeCells count="9">
    <mergeCell ref="E32:G32"/>
    <mergeCell ref="E33:G33"/>
    <mergeCell ref="E12:G12"/>
    <mergeCell ref="E28:G28"/>
    <mergeCell ref="E29:G29"/>
    <mergeCell ref="E30:G30"/>
    <mergeCell ref="E31:G31"/>
    <mergeCell ref="E14:G14"/>
    <mergeCell ref="E16:G17"/>
  </mergeCells>
  <printOptions horizontalCentered="1"/>
  <pageMargins left="0.39370078740157483" right="0.39370078740157483"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zoomScale="70" zoomScaleNormal="70" zoomScaleSheetLayoutView="85" workbookViewId="0">
      <selection activeCell="B24" sqref="B24:F24"/>
    </sheetView>
  </sheetViews>
  <sheetFormatPr baseColWidth="10" defaultColWidth="11.42578125" defaultRowHeight="15.75" x14ac:dyDescent="0.25"/>
  <cols>
    <col min="1" max="1" width="2.85546875" style="1" customWidth="1"/>
    <col min="2" max="2" width="10.7109375" style="1" customWidth="1"/>
    <col min="3" max="3" width="43.7109375" style="1" customWidth="1"/>
    <col min="4" max="4" width="2.7109375" style="1" customWidth="1"/>
    <col min="5" max="5" width="43.7109375" style="1" customWidth="1"/>
    <col min="6" max="6" width="10.7109375" style="1" customWidth="1"/>
    <col min="7" max="7" width="2.85546875" style="1" customWidth="1"/>
    <col min="8" max="16384" width="11.42578125" style="1"/>
  </cols>
  <sheetData>
    <row r="1" spans="1:7" s="32" customFormat="1" ht="17.850000000000001" customHeight="1" x14ac:dyDescent="0.3">
      <c r="A1" s="10"/>
      <c r="B1" s="10"/>
      <c r="C1" s="10"/>
      <c r="D1" s="10"/>
      <c r="E1" s="11"/>
      <c r="F1" s="11"/>
      <c r="G1" s="10"/>
    </row>
    <row r="2" spans="1:7" s="32" customFormat="1" ht="17.850000000000001" customHeight="1" x14ac:dyDescent="0.3">
      <c r="A2" s="10"/>
      <c r="B2" s="10"/>
      <c r="C2" s="10"/>
      <c r="D2" s="10"/>
      <c r="E2" s="11"/>
      <c r="F2" s="11"/>
      <c r="G2" s="10"/>
    </row>
    <row r="3" spans="1:7" s="32" customFormat="1" ht="17.850000000000001" customHeight="1" x14ac:dyDescent="0.3">
      <c r="A3" s="10"/>
      <c r="B3" s="33"/>
      <c r="C3" s="33"/>
      <c r="D3" s="10"/>
      <c r="E3" s="11"/>
      <c r="F3" s="11"/>
      <c r="G3" s="10"/>
    </row>
    <row r="4" spans="1:7" s="32" customFormat="1" ht="17.850000000000001" customHeight="1" x14ac:dyDescent="0.3">
      <c r="A4" s="10"/>
      <c r="B4" s="33"/>
      <c r="C4" s="33"/>
      <c r="D4" s="10"/>
      <c r="E4" s="11"/>
      <c r="F4" s="11"/>
      <c r="G4" s="10"/>
    </row>
    <row r="5" spans="1:7" s="32" customFormat="1" ht="17.850000000000001" customHeight="1" x14ac:dyDescent="0.3">
      <c r="A5" s="10"/>
      <c r="B5" s="33"/>
      <c r="C5" s="33"/>
      <c r="D5" s="10"/>
      <c r="E5" s="11"/>
      <c r="F5" s="11"/>
      <c r="G5" s="10"/>
    </row>
    <row r="6" spans="1:7" s="32" customFormat="1" ht="17.850000000000001" customHeight="1" x14ac:dyDescent="0.3">
      <c r="A6" s="10"/>
      <c r="B6" s="33"/>
      <c r="C6" s="33"/>
      <c r="D6" s="10"/>
      <c r="E6" s="11"/>
      <c r="F6" s="11"/>
      <c r="G6" s="10"/>
    </row>
    <row r="7" spans="1:7" s="32" customFormat="1" ht="17.850000000000001" customHeight="1" x14ac:dyDescent="0.3">
      <c r="A7" s="10"/>
      <c r="B7" s="33"/>
      <c r="C7" s="33"/>
      <c r="D7" s="34"/>
      <c r="E7" s="34"/>
      <c r="F7" s="34"/>
      <c r="G7" s="34"/>
    </row>
    <row r="8" spans="1:7" s="32" customFormat="1" ht="17.850000000000001" customHeight="1" x14ac:dyDescent="0.3">
      <c r="A8" s="10"/>
      <c r="B8" s="33"/>
      <c r="C8" s="33"/>
      <c r="D8" s="35"/>
      <c r="E8" s="36"/>
      <c r="F8" s="36"/>
      <c r="G8" s="35"/>
    </row>
    <row r="9" spans="1:7" s="2" customFormat="1" ht="17.850000000000001" customHeight="1" x14ac:dyDescent="0.3">
      <c r="A9" s="4"/>
      <c r="B9" s="33"/>
      <c r="C9" s="33"/>
      <c r="D9" s="37"/>
      <c r="E9" s="38"/>
      <c r="F9" s="38"/>
      <c r="G9" s="38"/>
    </row>
    <row r="10" spans="1:7" s="2" customFormat="1" ht="17.850000000000001" customHeight="1" x14ac:dyDescent="0.3">
      <c r="A10" s="4"/>
      <c r="B10" s="33"/>
      <c r="C10" s="33"/>
      <c r="D10" s="37"/>
      <c r="E10" s="38"/>
      <c r="F10" s="38"/>
      <c r="G10" s="38"/>
    </row>
    <row r="11" spans="1:7" s="2" customFormat="1" ht="17.850000000000001" customHeight="1" x14ac:dyDescent="0.3">
      <c r="A11" s="4"/>
      <c r="B11" s="33"/>
      <c r="C11" s="33"/>
      <c r="D11" s="37"/>
      <c r="E11" s="38"/>
      <c r="F11" s="38"/>
      <c r="G11" s="38"/>
    </row>
    <row r="12" spans="1:7" s="2" customFormat="1" ht="17.850000000000001" customHeight="1" x14ac:dyDescent="0.3">
      <c r="A12" s="4"/>
      <c r="B12" s="33"/>
      <c r="C12" s="33"/>
      <c r="D12" s="37"/>
      <c r="E12" s="38"/>
      <c r="F12" s="38"/>
      <c r="G12" s="38"/>
    </row>
    <row r="13" spans="1:7" s="2" customFormat="1" ht="17.850000000000001" customHeight="1" x14ac:dyDescent="0.3">
      <c r="A13" s="4"/>
      <c r="B13" s="33"/>
      <c r="C13" s="33"/>
      <c r="D13" s="37"/>
      <c r="E13" s="38"/>
      <c r="F13" s="38"/>
      <c r="G13" s="38"/>
    </row>
    <row r="14" spans="1:7" s="2" customFormat="1" ht="17.850000000000001" customHeight="1" x14ac:dyDescent="0.3">
      <c r="A14" s="4"/>
      <c r="B14" s="33"/>
      <c r="C14" s="33"/>
      <c r="D14" s="37"/>
      <c r="E14" s="38"/>
      <c r="F14" s="38"/>
      <c r="G14" s="38"/>
    </row>
    <row r="15" spans="1:7" s="2" customFormat="1" ht="17.850000000000001" customHeight="1" x14ac:dyDescent="0.3">
      <c r="A15" s="4"/>
      <c r="B15" s="33"/>
      <c r="C15" s="33"/>
      <c r="D15" s="37"/>
      <c r="E15" s="38"/>
      <c r="F15" s="38"/>
      <c r="G15" s="38"/>
    </row>
    <row r="16" spans="1:7" s="2" customFormat="1" ht="17.850000000000001" customHeight="1" x14ac:dyDescent="0.3">
      <c r="A16" s="4"/>
      <c r="B16" s="33"/>
      <c r="C16" s="33"/>
      <c r="D16" s="37"/>
      <c r="E16" s="38"/>
      <c r="F16" s="38"/>
      <c r="G16" s="38"/>
    </row>
    <row r="17" spans="1:9" s="2" customFormat="1" ht="17.850000000000001" customHeight="1" x14ac:dyDescent="0.3">
      <c r="A17" s="4"/>
      <c r="B17" s="33"/>
      <c r="C17" s="33"/>
      <c r="D17" s="37"/>
      <c r="E17" s="38"/>
      <c r="F17" s="38"/>
      <c r="G17" s="38"/>
    </row>
    <row r="18" spans="1:9" s="2" customFormat="1" ht="17.850000000000001" customHeight="1" x14ac:dyDescent="0.3">
      <c r="A18" s="4"/>
      <c r="B18" s="33"/>
      <c r="C18" s="33"/>
      <c r="D18" s="37"/>
      <c r="E18" s="38"/>
      <c r="F18" s="38"/>
      <c r="G18" s="38"/>
    </row>
    <row r="19" spans="1:9" s="2" customFormat="1" ht="17.850000000000001" customHeight="1" x14ac:dyDescent="0.3">
      <c r="A19" s="4"/>
      <c r="B19" s="7"/>
      <c r="C19" s="39"/>
      <c r="D19" s="39"/>
      <c r="E19" s="39"/>
      <c r="F19" s="39"/>
      <c r="G19" s="7"/>
    </row>
    <row r="20" spans="1:9" s="2" customFormat="1" ht="17.850000000000001" customHeight="1" x14ac:dyDescent="0.3">
      <c r="A20" s="4"/>
      <c r="B20" s="210" t="str">
        <f>Proyecto</f>
        <v>REFORMA INTEGRAL DE ….</v>
      </c>
      <c r="C20" s="210"/>
      <c r="D20" s="210"/>
      <c r="E20" s="210"/>
      <c r="F20" s="210"/>
      <c r="G20" s="7"/>
    </row>
    <row r="21" spans="1:9" s="2" customFormat="1" ht="17.850000000000001" customHeight="1" x14ac:dyDescent="0.3">
      <c r="A21" s="4"/>
      <c r="B21" s="210"/>
      <c r="C21" s="210"/>
      <c r="D21" s="210"/>
      <c r="E21" s="210"/>
      <c r="F21" s="210"/>
      <c r="G21" s="7"/>
    </row>
    <row r="22" spans="1:9" s="2" customFormat="1" ht="17.850000000000001" customHeight="1" x14ac:dyDescent="0.35">
      <c r="A22" s="4"/>
      <c r="B22" s="210"/>
      <c r="C22" s="210"/>
      <c r="D22" s="210"/>
      <c r="E22" s="210"/>
      <c r="F22" s="210"/>
      <c r="G22" s="17"/>
      <c r="I22" s="40"/>
    </row>
    <row r="23" spans="1:9" s="2" customFormat="1" ht="17.850000000000001" customHeight="1" x14ac:dyDescent="0.35">
      <c r="A23" s="4"/>
      <c r="B23" s="210"/>
      <c r="C23" s="210"/>
      <c r="D23" s="210"/>
      <c r="E23" s="210"/>
      <c r="F23" s="210"/>
      <c r="G23" s="17"/>
      <c r="I23" s="40"/>
    </row>
    <row r="24" spans="1:9" s="2" customFormat="1" ht="27" x14ac:dyDescent="0.35">
      <c r="A24" s="4"/>
      <c r="B24" s="345" t="s">
        <v>46</v>
      </c>
      <c r="C24" s="345"/>
      <c r="D24" s="345"/>
      <c r="E24" s="345"/>
      <c r="F24" s="345"/>
      <c r="G24" s="17"/>
      <c r="I24" s="40"/>
    </row>
    <row r="25" spans="1:9" s="2" customFormat="1" ht="17.850000000000001" customHeight="1" x14ac:dyDescent="0.35">
      <c r="A25" s="4"/>
      <c r="B25" s="346"/>
      <c r="C25" s="346"/>
      <c r="D25" s="47"/>
      <c r="E25" s="48"/>
      <c r="F25" s="41"/>
      <c r="G25" s="17"/>
      <c r="I25" s="40"/>
    </row>
    <row r="26" spans="1:9" s="2" customFormat="1" ht="24" x14ac:dyDescent="0.35">
      <c r="A26" s="4"/>
      <c r="B26" s="344" t="str">
        <f>Cliente_Fecha</f>
        <v>ENERO 2050</v>
      </c>
      <c r="C26" s="344"/>
      <c r="D26" s="344"/>
      <c r="E26" s="344"/>
      <c r="F26" s="344"/>
      <c r="G26" s="17"/>
      <c r="I26" s="40"/>
    </row>
    <row r="27" spans="1:9" s="2" customFormat="1" ht="17.850000000000001" customHeight="1" x14ac:dyDescent="0.35">
      <c r="A27" s="4"/>
      <c r="B27" s="42"/>
      <c r="C27" s="41"/>
      <c r="D27" s="41"/>
      <c r="E27" s="41"/>
      <c r="F27" s="41"/>
      <c r="G27" s="17"/>
      <c r="I27" s="40"/>
    </row>
    <row r="28" spans="1:9" s="2" customFormat="1" ht="17.850000000000001" customHeight="1" x14ac:dyDescent="0.35">
      <c r="A28" s="4"/>
      <c r="B28" s="344" t="str">
        <f>Cliente_Obra_Ciudad</f>
        <v>BARCELONA</v>
      </c>
      <c r="C28" s="344"/>
      <c r="D28" s="344"/>
      <c r="E28" s="344"/>
      <c r="F28" s="344"/>
      <c r="G28" s="17"/>
      <c r="I28" s="40"/>
    </row>
    <row r="29" spans="1:9" s="2" customFormat="1" ht="17.850000000000001" customHeight="1" x14ac:dyDescent="0.35">
      <c r="A29" s="4"/>
      <c r="B29" s="42"/>
      <c r="C29" s="41"/>
      <c r="D29" s="41"/>
      <c r="E29" s="41"/>
      <c r="F29" s="41"/>
      <c r="G29" s="17"/>
      <c r="I29" s="40"/>
    </row>
    <row r="30" spans="1:9" s="2" customFormat="1" ht="17.850000000000001" customHeight="1" x14ac:dyDescent="0.35">
      <c r="A30" s="4"/>
      <c r="B30" s="42"/>
      <c r="C30" s="41"/>
      <c r="D30" s="41"/>
      <c r="E30" s="41"/>
      <c r="F30" s="41"/>
      <c r="G30" s="17"/>
      <c r="I30" s="40"/>
    </row>
    <row r="31" spans="1:9" s="2" customFormat="1" ht="17.850000000000001" customHeight="1" x14ac:dyDescent="0.35">
      <c r="A31" s="4"/>
      <c r="B31" s="42"/>
      <c r="C31" s="41"/>
      <c r="D31" s="41"/>
      <c r="E31" s="41"/>
      <c r="F31" s="41"/>
      <c r="G31" s="17"/>
      <c r="I31" s="40"/>
    </row>
    <row r="32" spans="1:9" s="2" customFormat="1" ht="17.850000000000001" customHeight="1" x14ac:dyDescent="0.35">
      <c r="A32" s="4"/>
      <c r="B32" s="42"/>
      <c r="C32" s="41"/>
      <c r="D32" s="41"/>
      <c r="E32" s="41"/>
      <c r="F32" s="41"/>
      <c r="G32" s="17"/>
      <c r="I32" s="40"/>
    </row>
    <row r="33" spans="1:9" s="2" customFormat="1" ht="17.850000000000001" customHeight="1" x14ac:dyDescent="0.35">
      <c r="A33" s="4"/>
      <c r="B33" s="42"/>
      <c r="C33" s="41"/>
      <c r="D33" s="41"/>
      <c r="E33" s="41"/>
      <c r="F33" s="41"/>
      <c r="G33" s="17"/>
      <c r="I33" s="40"/>
    </row>
    <row r="34" spans="1:9" s="2" customFormat="1" ht="17.850000000000001" customHeight="1" x14ac:dyDescent="0.35">
      <c r="A34" s="4"/>
      <c r="B34" s="42"/>
      <c r="C34" s="41"/>
      <c r="D34" s="41"/>
      <c r="E34" s="41"/>
      <c r="F34" s="41"/>
      <c r="G34" s="17"/>
      <c r="I34" s="40"/>
    </row>
    <row r="35" spans="1:9" s="2" customFormat="1" ht="17.850000000000001" customHeight="1" x14ac:dyDescent="0.35">
      <c r="A35" s="4"/>
      <c r="B35" s="42"/>
      <c r="C35" s="41"/>
      <c r="D35" s="41"/>
      <c r="E35" s="41"/>
      <c r="F35" s="41"/>
      <c r="G35" s="17"/>
      <c r="I35" s="40"/>
    </row>
    <row r="36" spans="1:9" s="2" customFormat="1" ht="17.850000000000001" customHeight="1" x14ac:dyDescent="0.35">
      <c r="A36" s="4"/>
      <c r="B36" s="42"/>
      <c r="C36" s="41"/>
      <c r="D36" s="41"/>
      <c r="E36" s="41"/>
      <c r="F36" s="41"/>
      <c r="G36" s="17"/>
      <c r="I36" s="40"/>
    </row>
    <row r="37" spans="1:9" s="2" customFormat="1" ht="17.850000000000001" customHeight="1" x14ac:dyDescent="0.35">
      <c r="A37" s="4"/>
      <c r="B37" s="42"/>
      <c r="C37" s="41"/>
      <c r="D37" s="41"/>
      <c r="E37" s="41"/>
      <c r="F37" s="41"/>
      <c r="G37" s="17"/>
      <c r="I37" s="40"/>
    </row>
    <row r="38" spans="1:9" s="2" customFormat="1" ht="17.850000000000001" customHeight="1" x14ac:dyDescent="0.35">
      <c r="A38" s="4"/>
      <c r="B38" s="42"/>
      <c r="C38" s="41"/>
      <c r="D38" s="41"/>
      <c r="E38" s="41"/>
      <c r="F38" s="41"/>
      <c r="G38" s="17"/>
      <c r="I38" s="40"/>
    </row>
    <row r="39" spans="1:9" s="2" customFormat="1" ht="17.850000000000001" customHeight="1" x14ac:dyDescent="0.35">
      <c r="A39" s="4"/>
      <c r="B39" s="42"/>
      <c r="C39" s="41"/>
      <c r="D39" s="41"/>
      <c r="E39" s="41"/>
      <c r="F39" s="41"/>
      <c r="G39" s="17"/>
      <c r="I39" s="40"/>
    </row>
    <row r="40" spans="1:9" s="2" customFormat="1" ht="17.850000000000001" customHeight="1" x14ac:dyDescent="0.35">
      <c r="A40" s="4"/>
      <c r="B40" s="42"/>
      <c r="C40" s="41"/>
      <c r="D40" s="41"/>
      <c r="E40" s="41"/>
      <c r="F40" s="41"/>
      <c r="G40" s="17"/>
      <c r="I40" s="40"/>
    </row>
    <row r="41" spans="1:9" s="2" customFormat="1" ht="17.850000000000001" customHeight="1" x14ac:dyDescent="0.35">
      <c r="A41" s="4"/>
      <c r="B41" s="42"/>
      <c r="C41" s="41"/>
      <c r="D41" s="41"/>
      <c r="E41" s="41"/>
      <c r="F41" s="41"/>
      <c r="G41" s="17"/>
      <c r="I41" s="40"/>
    </row>
    <row r="42" spans="1:9" s="2" customFormat="1" ht="17.850000000000001" customHeight="1" x14ac:dyDescent="0.35">
      <c r="A42" s="4"/>
      <c r="B42" s="42"/>
      <c r="C42" s="41"/>
      <c r="D42" s="41"/>
      <c r="E42" s="41"/>
      <c r="F42" s="41"/>
      <c r="G42" s="17"/>
      <c r="I42" s="40"/>
    </row>
    <row r="43" spans="1:9" s="2" customFormat="1" ht="17.850000000000001" customHeight="1" x14ac:dyDescent="0.35">
      <c r="A43" s="4"/>
      <c r="B43" s="42"/>
      <c r="C43" s="41"/>
      <c r="D43" s="41"/>
      <c r="E43" s="41"/>
      <c r="F43" s="41"/>
      <c r="G43" s="17"/>
      <c r="I43" s="40"/>
    </row>
    <row r="44" spans="1:9" s="2" customFormat="1" ht="17.850000000000001" customHeight="1" x14ac:dyDescent="0.35">
      <c r="A44" s="4"/>
      <c r="B44" s="42"/>
      <c r="C44" s="41"/>
      <c r="D44" s="41"/>
      <c r="E44" s="41"/>
      <c r="F44" s="41"/>
      <c r="G44" s="17"/>
      <c r="I44" s="40"/>
    </row>
    <row r="45" spans="1:9" s="2" customFormat="1" ht="17.850000000000001" customHeight="1" x14ac:dyDescent="0.3">
      <c r="A45" s="4"/>
      <c r="B45" s="7"/>
      <c r="C45" s="38"/>
      <c r="D45" s="38"/>
      <c r="E45" s="38"/>
      <c r="F45" s="38"/>
      <c r="G45" s="7"/>
      <c r="I45" s="40"/>
    </row>
    <row r="46" spans="1:9" s="2" customFormat="1" ht="17.850000000000001" customHeight="1" x14ac:dyDescent="0.35">
      <c r="A46" s="4"/>
      <c r="B46" s="43"/>
      <c r="C46" s="44"/>
      <c r="D46" s="44"/>
      <c r="E46" s="44"/>
      <c r="F46" s="44"/>
      <c r="G46" s="17"/>
      <c r="I46" s="40"/>
    </row>
    <row r="47" spans="1:9" s="2" customFormat="1" ht="17.850000000000001" customHeight="1" x14ac:dyDescent="0.3">
      <c r="A47" s="4"/>
      <c r="B47" s="45"/>
      <c r="C47" s="45"/>
      <c r="D47" s="45"/>
      <c r="E47" s="45"/>
      <c r="F47" s="45"/>
      <c r="G47" s="7"/>
    </row>
    <row r="48" spans="1:9" s="2" customFormat="1" ht="17.850000000000001" customHeight="1" x14ac:dyDescent="0.3">
      <c r="A48" s="4"/>
      <c r="B48" s="34"/>
      <c r="C48" s="34"/>
      <c r="D48" s="34"/>
      <c r="E48" s="34"/>
      <c r="F48" s="34"/>
      <c r="G48" s="34"/>
      <c r="H48" s="46"/>
    </row>
    <row r="49" spans="1:7" s="2" customFormat="1" ht="17.850000000000001" customHeight="1" x14ac:dyDescent="0.3">
      <c r="A49" s="7"/>
      <c r="B49" s="38"/>
      <c r="C49" s="38"/>
      <c r="D49" s="38"/>
      <c r="E49" s="38"/>
      <c r="F49" s="38"/>
      <c r="G49" s="38"/>
    </row>
    <row r="50" spans="1:7" s="2" customFormat="1" ht="17.850000000000001" customHeight="1" x14ac:dyDescent="0.25"/>
    <row r="51" spans="1:7" s="2" customFormat="1" ht="17.850000000000001" customHeight="1" x14ac:dyDescent="0.25"/>
  </sheetData>
  <mergeCells count="5">
    <mergeCell ref="B28:F28"/>
    <mergeCell ref="B26:F26"/>
    <mergeCell ref="B20:F23"/>
    <mergeCell ref="B24:F24"/>
    <mergeCell ref="B25:C25"/>
  </mergeCells>
  <printOptions horizontalCentered="1"/>
  <pageMargins left="0.23622047244094491" right="0.23622047244094491" top="0.74803149606299213" bottom="0.74803149606299213" header="0.31496062992125984" footer="0.31496062992125984"/>
  <pageSetup paperSize="9" scale="65" orientation="portrait" r:id="rId1"/>
  <colBreaks count="1" manualBreakCount="1">
    <brk id="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7"/>
  <sheetViews>
    <sheetView zoomScale="55" zoomScaleNormal="55" zoomScaleSheetLayoutView="40" workbookViewId="0">
      <selection activeCell="K9" sqref="K9"/>
    </sheetView>
  </sheetViews>
  <sheetFormatPr baseColWidth="10" defaultColWidth="11.42578125" defaultRowHeight="16.5" x14ac:dyDescent="0.3"/>
  <cols>
    <col min="1" max="1" width="2.85546875" style="5" customWidth="1"/>
    <col min="2" max="2" width="11.42578125" style="5"/>
    <col min="3" max="3" width="71.7109375" style="5" customWidth="1"/>
    <col min="4" max="4" width="61.7109375" style="5" customWidth="1"/>
    <col min="5" max="5" width="3.5703125" style="5" customWidth="1"/>
    <col min="6" max="6" width="23.28515625" style="5" bestFit="1" customWidth="1"/>
    <col min="7" max="7" width="2.85546875" style="5" customWidth="1"/>
    <col min="8" max="16384" width="11.42578125" style="5"/>
  </cols>
  <sheetData>
    <row r="1" spans="1:7" ht="17.25" thickBot="1" x14ac:dyDescent="0.35">
      <c r="A1" s="3"/>
      <c r="B1" s="4"/>
      <c r="C1" s="4"/>
      <c r="D1" s="4"/>
      <c r="E1" s="4"/>
      <c r="F1" s="4"/>
      <c r="G1" s="4"/>
    </row>
    <row r="2" spans="1:7" ht="14.25" customHeight="1" thickTop="1" x14ac:dyDescent="0.3">
      <c r="A2" s="4"/>
      <c r="B2" s="347"/>
      <c r="C2" s="350" t="s">
        <v>41</v>
      </c>
      <c r="D2" s="350"/>
      <c r="E2" s="350"/>
      <c r="F2" s="350"/>
      <c r="G2" s="4"/>
    </row>
    <row r="3" spans="1:7" x14ac:dyDescent="0.3">
      <c r="A3" s="4"/>
      <c r="B3" s="348"/>
      <c r="C3" s="351"/>
      <c r="D3" s="351"/>
      <c r="E3" s="351"/>
      <c r="F3" s="351"/>
      <c r="G3" s="4"/>
    </row>
    <row r="4" spans="1:7" ht="17.25" thickBot="1" x14ac:dyDescent="0.35">
      <c r="A4" s="4"/>
      <c r="B4" s="349"/>
      <c r="C4" s="352"/>
      <c r="D4" s="352"/>
      <c r="E4" s="352"/>
      <c r="F4" s="352"/>
      <c r="G4" s="4"/>
    </row>
    <row r="5" spans="1:7" ht="7.5" customHeight="1" thickTop="1" thickBot="1" x14ac:dyDescent="0.35">
      <c r="A5" s="4"/>
      <c r="B5" s="4"/>
      <c r="C5" s="6"/>
      <c r="D5" s="6"/>
      <c r="E5" s="4"/>
      <c r="F5" s="4"/>
      <c r="G5" s="4"/>
    </row>
    <row r="6" spans="1:7" s="16" customFormat="1" ht="20.25" thickBot="1" x14ac:dyDescent="0.4">
      <c r="A6" s="15"/>
      <c r="B6" s="80"/>
      <c r="C6" s="353" t="s">
        <v>38</v>
      </c>
      <c r="D6" s="354"/>
      <c r="E6" s="20"/>
      <c r="F6" s="66" t="s">
        <v>42</v>
      </c>
      <c r="G6" s="20"/>
    </row>
    <row r="7" spans="1:7" s="16" customFormat="1" ht="7.5" customHeight="1" x14ac:dyDescent="0.35">
      <c r="A7" s="15"/>
      <c r="B7" s="15"/>
      <c r="C7" s="17"/>
      <c r="D7" s="17"/>
      <c r="E7" s="15"/>
      <c r="G7" s="15"/>
    </row>
    <row r="8" spans="1:7" s="16" customFormat="1" ht="150" customHeight="1" x14ac:dyDescent="0.35">
      <c r="A8" s="15"/>
      <c r="B8" s="22">
        <v>1</v>
      </c>
      <c r="C8" s="30"/>
      <c r="D8" s="23"/>
      <c r="E8" s="15"/>
      <c r="F8" s="24"/>
      <c r="G8" s="15"/>
    </row>
    <row r="9" spans="1:7" s="16" customFormat="1" ht="150" customHeight="1" x14ac:dyDescent="0.35">
      <c r="A9" s="15"/>
      <c r="B9" s="22">
        <v>2</v>
      </c>
      <c r="C9" s="27"/>
      <c r="D9" s="25"/>
      <c r="E9" s="26"/>
      <c r="F9" s="24"/>
      <c r="G9" s="15"/>
    </row>
    <row r="10" spans="1:7" s="16" customFormat="1" ht="150" customHeight="1" x14ac:dyDescent="0.35">
      <c r="A10" s="15"/>
      <c r="B10" s="22">
        <v>3</v>
      </c>
      <c r="C10" s="27"/>
      <c r="D10" s="23"/>
      <c r="E10" s="15"/>
      <c r="F10" s="24"/>
      <c r="G10" s="15"/>
    </row>
    <row r="11" spans="1:7" s="16" customFormat="1" ht="150" customHeight="1" x14ac:dyDescent="0.35">
      <c r="A11" s="15"/>
      <c r="B11" s="22">
        <v>4</v>
      </c>
      <c r="C11" s="27"/>
      <c r="D11" s="23"/>
      <c r="E11" s="15"/>
      <c r="F11" s="24"/>
      <c r="G11" s="15"/>
    </row>
    <row r="12" spans="1:7" s="16" customFormat="1" ht="150" customHeight="1" x14ac:dyDescent="0.35">
      <c r="A12" s="15"/>
      <c r="B12" s="22">
        <v>5</v>
      </c>
      <c r="C12" s="31"/>
      <c r="D12" s="23"/>
      <c r="E12" s="26"/>
      <c r="F12" s="24"/>
      <c r="G12" s="15"/>
    </row>
    <row r="13" spans="1:7" s="16" customFormat="1" ht="150" customHeight="1" x14ac:dyDescent="0.35">
      <c r="A13" s="15"/>
      <c r="B13" s="22">
        <v>6</v>
      </c>
      <c r="C13" s="31"/>
      <c r="D13" s="23"/>
      <c r="E13" s="26"/>
      <c r="F13" s="24"/>
      <c r="G13" s="15"/>
    </row>
    <row r="14" spans="1:7" s="16" customFormat="1" ht="150" customHeight="1" x14ac:dyDescent="0.35">
      <c r="A14" s="15"/>
      <c r="B14" s="22">
        <v>7</v>
      </c>
      <c r="C14" s="31"/>
      <c r="D14" s="23"/>
      <c r="E14" s="26"/>
      <c r="F14" s="24"/>
      <c r="G14" s="15"/>
    </row>
    <row r="15" spans="1:7" s="16" customFormat="1" ht="150" customHeight="1" x14ac:dyDescent="0.35">
      <c r="A15" s="15"/>
      <c r="B15" s="22">
        <v>9</v>
      </c>
      <c r="C15" s="31"/>
      <c r="D15" s="23"/>
      <c r="E15" s="26"/>
      <c r="F15" s="24"/>
      <c r="G15" s="15"/>
    </row>
    <row r="16" spans="1:7" s="16" customFormat="1" ht="150" customHeight="1" x14ac:dyDescent="0.35">
      <c r="A16" s="15"/>
      <c r="B16" s="22">
        <v>10</v>
      </c>
      <c r="C16" s="31"/>
      <c r="D16" s="23"/>
      <c r="E16" s="26"/>
      <c r="F16" s="24"/>
      <c r="G16" s="15"/>
    </row>
    <row r="17" spans="1:7" ht="21.75" customHeight="1" x14ac:dyDescent="0.3">
      <c r="A17" s="4"/>
      <c r="B17" s="4"/>
      <c r="C17" s="28"/>
      <c r="D17" s="28"/>
      <c r="E17" s="4"/>
      <c r="F17" s="8"/>
      <c r="G17" s="4"/>
    </row>
    <row r="27" spans="1:7" ht="64.5" customHeight="1" x14ac:dyDescent="0.3"/>
  </sheetData>
  <mergeCells count="3">
    <mergeCell ref="B2:B4"/>
    <mergeCell ref="C2:F4"/>
    <mergeCell ref="C6:D6"/>
  </mergeCells>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abSelected="1" zoomScale="70" zoomScaleNormal="70" zoomScaleSheetLayoutView="100" workbookViewId="0">
      <selection activeCell="J23" sqref="J23"/>
    </sheetView>
  </sheetViews>
  <sheetFormatPr baseColWidth="10" defaultColWidth="11.42578125" defaultRowHeight="15.75" x14ac:dyDescent="0.25"/>
  <cols>
    <col min="1" max="1" width="2.85546875" style="1" customWidth="1"/>
    <col min="2" max="2" width="10.7109375" style="1" customWidth="1"/>
    <col min="3" max="3" width="43.7109375" style="1" customWidth="1"/>
    <col min="4" max="4" width="2.7109375" style="1" customWidth="1"/>
    <col min="5" max="5" width="43.7109375" style="1" customWidth="1"/>
    <col min="6" max="6" width="10.7109375" style="1" customWidth="1"/>
    <col min="7" max="7" width="2.85546875" style="1" customWidth="1"/>
    <col min="8" max="16384" width="11.42578125" style="1"/>
  </cols>
  <sheetData>
    <row r="1" spans="1:7" s="32" customFormat="1" ht="17.850000000000001" customHeight="1" x14ac:dyDescent="0.3">
      <c r="A1" s="10"/>
      <c r="B1" s="10"/>
      <c r="C1" s="10"/>
      <c r="D1" s="10"/>
      <c r="E1" s="11"/>
      <c r="F1" s="11"/>
      <c r="G1" s="10"/>
    </row>
    <row r="2" spans="1:7" s="32" customFormat="1" ht="17.850000000000001" customHeight="1" x14ac:dyDescent="0.3">
      <c r="A2" s="10"/>
      <c r="B2" s="10"/>
      <c r="C2" s="10"/>
      <c r="D2" s="10"/>
      <c r="E2" s="11"/>
      <c r="F2" s="11"/>
      <c r="G2" s="10"/>
    </row>
    <row r="3" spans="1:7" s="32" customFormat="1" ht="17.850000000000001" customHeight="1" x14ac:dyDescent="0.3">
      <c r="A3" s="10"/>
      <c r="B3" s="33"/>
      <c r="C3" s="33"/>
      <c r="D3" s="10"/>
      <c r="E3" s="11"/>
      <c r="F3" s="11"/>
      <c r="G3" s="10"/>
    </row>
    <row r="4" spans="1:7" s="32" customFormat="1" ht="17.850000000000001" customHeight="1" x14ac:dyDescent="0.3">
      <c r="A4" s="10"/>
      <c r="B4" s="33"/>
      <c r="C4" s="33"/>
      <c r="D4" s="10"/>
      <c r="E4" s="11"/>
      <c r="F4" s="11"/>
      <c r="G4" s="10"/>
    </row>
    <row r="5" spans="1:7" s="32" customFormat="1" ht="17.850000000000001" customHeight="1" x14ac:dyDescent="0.3">
      <c r="A5" s="10"/>
      <c r="B5" s="33"/>
      <c r="C5" s="33"/>
      <c r="D5" s="10"/>
      <c r="E5" s="11"/>
      <c r="F5" s="11"/>
      <c r="G5" s="10"/>
    </row>
    <row r="6" spans="1:7" s="32" customFormat="1" ht="17.850000000000001" customHeight="1" x14ac:dyDescent="0.3">
      <c r="A6" s="10"/>
      <c r="B6" s="33"/>
      <c r="C6" s="33"/>
      <c r="D6" s="10"/>
      <c r="E6" s="11"/>
      <c r="F6" s="11"/>
      <c r="G6" s="10"/>
    </row>
    <row r="7" spans="1:7" s="32" customFormat="1" ht="17.850000000000001" customHeight="1" x14ac:dyDescent="0.3">
      <c r="A7" s="10"/>
      <c r="B7" s="33"/>
      <c r="C7" s="33"/>
      <c r="D7" s="34"/>
      <c r="E7" s="34"/>
      <c r="F7" s="34"/>
      <c r="G7" s="34"/>
    </row>
    <row r="8" spans="1:7" s="32" customFormat="1" ht="17.850000000000001" customHeight="1" x14ac:dyDescent="0.3">
      <c r="A8" s="10"/>
      <c r="B8" s="33"/>
      <c r="C8" s="33"/>
      <c r="D8" s="35"/>
      <c r="E8" s="36"/>
      <c r="F8" s="36"/>
      <c r="G8" s="35"/>
    </row>
    <row r="9" spans="1:7" s="2" customFormat="1" ht="17.850000000000001" customHeight="1" x14ac:dyDescent="0.3">
      <c r="A9" s="4"/>
      <c r="B9" s="33"/>
      <c r="C9" s="33"/>
      <c r="D9" s="37"/>
      <c r="E9" s="38"/>
      <c r="F9" s="38"/>
      <c r="G9" s="38"/>
    </row>
    <row r="10" spans="1:7" s="2" customFormat="1" ht="17.850000000000001" customHeight="1" x14ac:dyDescent="0.3">
      <c r="A10" s="4"/>
      <c r="B10" s="33"/>
      <c r="C10" s="33"/>
      <c r="D10" s="37"/>
      <c r="E10" s="38"/>
      <c r="F10" s="38"/>
      <c r="G10" s="38"/>
    </row>
    <row r="11" spans="1:7" s="2" customFormat="1" ht="17.850000000000001" customHeight="1" x14ac:dyDescent="0.3">
      <c r="A11" s="4"/>
      <c r="B11" s="33"/>
      <c r="C11" s="33"/>
      <c r="D11" s="37"/>
      <c r="E11" s="38"/>
      <c r="F11" s="38"/>
      <c r="G11" s="38"/>
    </row>
    <row r="12" spans="1:7" s="2" customFormat="1" ht="17.850000000000001" customHeight="1" x14ac:dyDescent="0.3">
      <c r="A12" s="4"/>
      <c r="B12" s="33"/>
      <c r="C12" s="33"/>
      <c r="D12" s="37"/>
      <c r="E12" s="38"/>
      <c r="F12" s="38"/>
      <c r="G12" s="38"/>
    </row>
    <row r="13" spans="1:7" s="2" customFormat="1" ht="17.850000000000001" customHeight="1" x14ac:dyDescent="0.3">
      <c r="A13" s="4"/>
      <c r="B13" s="33"/>
      <c r="C13" s="33"/>
      <c r="D13" s="37"/>
      <c r="E13" s="38"/>
      <c r="F13" s="38"/>
      <c r="G13" s="38"/>
    </row>
    <row r="14" spans="1:7" s="2" customFormat="1" ht="17.850000000000001" customHeight="1" x14ac:dyDescent="0.3">
      <c r="A14" s="4"/>
      <c r="B14" s="33"/>
      <c r="C14" s="33"/>
      <c r="D14" s="37"/>
      <c r="E14" s="38"/>
      <c r="F14" s="38"/>
      <c r="G14" s="38"/>
    </row>
    <row r="15" spans="1:7" s="2" customFormat="1" ht="17.850000000000001" customHeight="1" x14ac:dyDescent="0.3">
      <c r="A15" s="4"/>
      <c r="B15" s="33"/>
      <c r="C15" s="33"/>
      <c r="D15" s="37"/>
      <c r="E15" s="38"/>
      <c r="F15" s="38"/>
      <c r="G15" s="38"/>
    </row>
    <row r="16" spans="1:7" s="2" customFormat="1" ht="17.850000000000001" customHeight="1" x14ac:dyDescent="0.3">
      <c r="A16" s="4"/>
      <c r="B16" s="33"/>
      <c r="C16" s="33"/>
      <c r="D16" s="37"/>
      <c r="E16" s="38"/>
      <c r="F16" s="38"/>
      <c r="G16" s="38"/>
    </row>
    <row r="17" spans="1:9" s="2" customFormat="1" ht="17.850000000000001" customHeight="1" x14ac:dyDescent="0.3">
      <c r="A17" s="4"/>
      <c r="B17" s="33"/>
      <c r="C17" s="33"/>
      <c r="D17" s="37"/>
      <c r="E17" s="38"/>
      <c r="F17" s="38"/>
      <c r="G17" s="38"/>
    </row>
    <row r="18" spans="1:9" s="2" customFormat="1" ht="17.850000000000001" customHeight="1" x14ac:dyDescent="0.3">
      <c r="A18" s="4"/>
      <c r="B18" s="33"/>
      <c r="C18" s="33"/>
      <c r="D18" s="37"/>
      <c r="E18" s="38"/>
      <c r="F18" s="38"/>
      <c r="G18" s="38"/>
    </row>
    <row r="19" spans="1:9" s="2" customFormat="1" ht="17.850000000000001" customHeight="1" x14ac:dyDescent="0.3">
      <c r="A19" s="4"/>
      <c r="B19" s="7"/>
      <c r="C19" s="39"/>
      <c r="D19" s="39"/>
      <c r="E19" s="39"/>
      <c r="F19" s="39"/>
      <c r="G19" s="7"/>
    </row>
    <row r="20" spans="1:9" s="2" customFormat="1" ht="17.850000000000001" customHeight="1" x14ac:dyDescent="0.3">
      <c r="A20" s="4"/>
      <c r="B20" s="210" t="str">
        <f>Proyecto</f>
        <v>REFORMA INTEGRAL DE ….</v>
      </c>
      <c r="C20" s="210"/>
      <c r="D20" s="210"/>
      <c r="E20" s="210"/>
      <c r="F20" s="210"/>
      <c r="G20" s="7"/>
    </row>
    <row r="21" spans="1:9" s="2" customFormat="1" ht="17.850000000000001" customHeight="1" x14ac:dyDescent="0.3">
      <c r="A21" s="4"/>
      <c r="B21" s="210"/>
      <c r="C21" s="210"/>
      <c r="D21" s="210"/>
      <c r="E21" s="210"/>
      <c r="F21" s="210"/>
      <c r="G21" s="7"/>
    </row>
    <row r="22" spans="1:9" s="2" customFormat="1" ht="17.850000000000001" customHeight="1" x14ac:dyDescent="0.35">
      <c r="A22" s="4"/>
      <c r="B22" s="210"/>
      <c r="C22" s="210"/>
      <c r="D22" s="210"/>
      <c r="E22" s="210"/>
      <c r="F22" s="210"/>
      <c r="G22" s="17"/>
      <c r="I22" s="40"/>
    </row>
    <row r="23" spans="1:9" s="2" customFormat="1" ht="17.850000000000001" customHeight="1" x14ac:dyDescent="0.35">
      <c r="A23" s="4"/>
      <c r="B23" s="211"/>
      <c r="C23" s="211"/>
      <c r="D23" s="211"/>
      <c r="E23" s="211"/>
      <c r="F23" s="211"/>
      <c r="G23" s="17"/>
      <c r="I23" s="40"/>
    </row>
    <row r="24" spans="1:9" s="2" customFormat="1" ht="21" x14ac:dyDescent="0.35">
      <c r="A24" s="4"/>
      <c r="B24" s="212"/>
      <c r="C24" s="212"/>
      <c r="D24" s="212"/>
      <c r="E24" s="212"/>
      <c r="F24" s="212"/>
      <c r="G24" s="17"/>
      <c r="I24" s="40"/>
    </row>
    <row r="25" spans="1:9" s="2" customFormat="1" ht="21" x14ac:dyDescent="0.35">
      <c r="A25" s="4"/>
      <c r="B25" s="214" t="s">
        <v>27</v>
      </c>
      <c r="C25" s="214"/>
      <c r="D25" s="214"/>
      <c r="E25" s="214"/>
      <c r="F25" s="214"/>
      <c r="G25" s="17"/>
      <c r="I25" s="40"/>
    </row>
    <row r="26" spans="1:9" s="2" customFormat="1" ht="21" x14ac:dyDescent="0.35">
      <c r="A26" s="4"/>
      <c r="B26" s="214" t="str">
        <f>Cliente_Fecha</f>
        <v>ENERO 2050</v>
      </c>
      <c r="C26" s="214"/>
      <c r="D26" s="214"/>
      <c r="E26" s="214"/>
      <c r="F26" s="214"/>
      <c r="G26" s="17"/>
      <c r="I26" s="40"/>
    </row>
    <row r="27" spans="1:9" s="2" customFormat="1" ht="17.850000000000001" customHeight="1" x14ac:dyDescent="0.35">
      <c r="A27" s="4"/>
      <c r="B27" s="215"/>
      <c r="C27" s="215"/>
      <c r="D27" s="215"/>
      <c r="E27" s="215"/>
      <c r="F27" s="215"/>
      <c r="G27" s="17"/>
      <c r="I27" s="40"/>
    </row>
    <row r="28" spans="1:9" s="2" customFormat="1" ht="24" x14ac:dyDescent="0.35">
      <c r="A28" s="4"/>
      <c r="B28" s="213"/>
      <c r="C28" s="213"/>
      <c r="D28" s="213"/>
      <c r="E28" s="213"/>
      <c r="F28" s="213"/>
      <c r="G28" s="17"/>
      <c r="I28" s="40"/>
    </row>
    <row r="29" spans="1:9" s="2" customFormat="1" ht="17.850000000000001" customHeight="1" x14ac:dyDescent="0.35">
      <c r="A29" s="4"/>
      <c r="B29" s="208" t="str">
        <f>DATOS!C4</f>
        <v>CALLE DE LA CASA, 01</v>
      </c>
      <c r="C29" s="208"/>
      <c r="D29" s="208"/>
      <c r="E29" s="208"/>
      <c r="F29" s="208"/>
      <c r="G29" s="17"/>
      <c r="I29" s="40"/>
    </row>
    <row r="30" spans="1:9" s="2" customFormat="1" ht="17.850000000000001" customHeight="1" x14ac:dyDescent="0.35">
      <c r="A30" s="4"/>
      <c r="B30" s="209" t="str">
        <f>Cliente_Obra_Ciudad</f>
        <v>BARCELONA</v>
      </c>
      <c r="C30" s="209"/>
      <c r="D30" s="209"/>
      <c r="E30" s="209"/>
      <c r="F30" s="209"/>
      <c r="G30" s="17"/>
      <c r="I30" s="40"/>
    </row>
    <row r="31" spans="1:9" s="2" customFormat="1" ht="17.850000000000001" customHeight="1" x14ac:dyDescent="0.35">
      <c r="A31" s="4"/>
      <c r="B31" s="190"/>
      <c r="C31" s="190"/>
      <c r="D31" s="190"/>
      <c r="E31" s="190"/>
      <c r="F31" s="190"/>
      <c r="G31" s="17"/>
      <c r="I31" s="40"/>
    </row>
    <row r="32" spans="1:9" s="2" customFormat="1" ht="17.850000000000001" customHeight="1" x14ac:dyDescent="0.35">
      <c r="A32" s="4"/>
      <c r="B32" s="42"/>
      <c r="C32" s="41"/>
      <c r="D32" s="41"/>
      <c r="E32" s="41"/>
      <c r="F32" s="41"/>
      <c r="G32" s="17"/>
      <c r="I32" s="40"/>
    </row>
    <row r="33" spans="1:9" s="2" customFormat="1" ht="17.850000000000001" customHeight="1" x14ac:dyDescent="0.35">
      <c r="A33" s="4"/>
      <c r="B33" s="42"/>
      <c r="C33" s="41"/>
      <c r="D33" s="41"/>
      <c r="E33" s="41"/>
      <c r="F33" s="41"/>
      <c r="G33" s="17"/>
      <c r="I33" s="40"/>
    </row>
    <row r="34" spans="1:9" s="2" customFormat="1" ht="17.850000000000001" customHeight="1" x14ac:dyDescent="0.35">
      <c r="A34" s="4"/>
      <c r="B34" s="42"/>
      <c r="C34" s="41"/>
      <c r="D34" s="41"/>
      <c r="E34" s="41"/>
      <c r="F34" s="41"/>
      <c r="G34" s="17"/>
      <c r="I34" s="40"/>
    </row>
    <row r="35" spans="1:9" s="2" customFormat="1" ht="17.850000000000001" customHeight="1" x14ac:dyDescent="0.35">
      <c r="A35" s="4"/>
      <c r="B35" s="42"/>
      <c r="C35" s="41"/>
      <c r="D35" s="41"/>
      <c r="E35" s="41"/>
      <c r="F35" s="41"/>
      <c r="G35" s="17"/>
      <c r="I35" s="40"/>
    </row>
    <row r="36" spans="1:9" s="2" customFormat="1" ht="17.850000000000001" customHeight="1" x14ac:dyDescent="0.35">
      <c r="A36" s="4"/>
      <c r="B36" s="42"/>
      <c r="C36" s="41"/>
      <c r="D36" s="41"/>
      <c r="E36" s="41"/>
      <c r="F36" s="41"/>
      <c r="G36" s="17"/>
      <c r="I36" s="40"/>
    </row>
    <row r="37" spans="1:9" s="2" customFormat="1" ht="17.850000000000001" customHeight="1" x14ac:dyDescent="0.35">
      <c r="A37" s="4"/>
      <c r="B37" s="42"/>
      <c r="C37" s="41"/>
      <c r="D37" s="41"/>
      <c r="E37" s="41"/>
      <c r="F37" s="41"/>
      <c r="G37" s="17"/>
      <c r="I37" s="40"/>
    </row>
    <row r="38" spans="1:9" s="2" customFormat="1" ht="17.850000000000001" customHeight="1" x14ac:dyDescent="0.35">
      <c r="A38" s="4"/>
      <c r="B38" s="42"/>
      <c r="C38" s="41"/>
      <c r="D38" s="41"/>
      <c r="E38" s="41"/>
      <c r="F38" s="41"/>
      <c r="G38" s="17"/>
      <c r="I38" s="40"/>
    </row>
    <row r="39" spans="1:9" s="2" customFormat="1" ht="17.850000000000001" customHeight="1" x14ac:dyDescent="0.3">
      <c r="A39" s="4"/>
      <c r="B39" s="7"/>
      <c r="C39" s="38"/>
      <c r="D39" s="38"/>
      <c r="E39" s="38"/>
      <c r="F39" s="38"/>
      <c r="G39" s="7"/>
      <c r="I39" s="40"/>
    </row>
    <row r="40" spans="1:9" s="2" customFormat="1" ht="17.850000000000001" customHeight="1" x14ac:dyDescent="0.35">
      <c r="A40" s="4"/>
      <c r="B40" s="43"/>
      <c r="C40" s="44"/>
      <c r="D40" s="44"/>
      <c r="E40" s="44"/>
      <c r="F40" s="44"/>
      <c r="G40" s="17"/>
      <c r="I40" s="40"/>
    </row>
    <row r="41" spans="1:9" s="2" customFormat="1" ht="17.850000000000001" customHeight="1" x14ac:dyDescent="0.3">
      <c r="A41" s="4"/>
      <c r="B41" s="45"/>
      <c r="C41" s="45"/>
      <c r="D41" s="45"/>
      <c r="E41" s="45"/>
      <c r="F41" s="45"/>
      <c r="G41" s="7"/>
    </row>
    <row r="42" spans="1:9" s="2" customFormat="1" ht="17.850000000000001" customHeight="1" x14ac:dyDescent="0.3">
      <c r="A42" s="4"/>
      <c r="B42" s="34"/>
      <c r="C42" s="34"/>
      <c r="D42" s="34"/>
      <c r="E42" s="34"/>
      <c r="F42" s="34"/>
      <c r="G42" s="34"/>
      <c r="H42" s="46"/>
    </row>
    <row r="43" spans="1:9" s="2" customFormat="1" ht="17.850000000000001" customHeight="1" x14ac:dyDescent="0.3">
      <c r="A43" s="7"/>
      <c r="B43" s="38"/>
      <c r="C43" s="38"/>
      <c r="D43" s="38"/>
      <c r="E43" s="38"/>
      <c r="F43" s="38"/>
      <c r="G43" s="38"/>
    </row>
    <row r="44" spans="1:9" s="2" customFormat="1" ht="17.850000000000001" customHeight="1" x14ac:dyDescent="0.3">
      <c r="A44" s="4"/>
      <c r="B44" s="49"/>
      <c r="C44" s="49"/>
      <c r="D44" s="49"/>
      <c r="E44" s="49"/>
      <c r="F44" s="49"/>
      <c r="G44" s="49"/>
    </row>
    <row r="45" spans="1:9" s="2" customFormat="1" ht="17.850000000000001" customHeight="1" x14ac:dyDescent="0.3">
      <c r="A45" s="4"/>
      <c r="B45" s="49"/>
      <c r="C45" s="49"/>
      <c r="D45" s="49"/>
      <c r="E45" s="49"/>
      <c r="F45" s="49"/>
      <c r="G45" s="49"/>
    </row>
    <row r="46" spans="1:9" s="2" customFormat="1" ht="17.850000000000001" customHeight="1" x14ac:dyDescent="0.3">
      <c r="A46" s="4"/>
      <c r="B46" s="49"/>
      <c r="C46" s="49"/>
      <c r="D46" s="49"/>
      <c r="E46" s="49"/>
      <c r="F46" s="49"/>
      <c r="G46" s="49"/>
    </row>
    <row r="47" spans="1:9" s="2" customFormat="1" ht="17.850000000000001" customHeight="1" x14ac:dyDescent="0.3">
      <c r="A47" s="4"/>
      <c r="B47" s="49"/>
      <c r="C47" s="49"/>
      <c r="D47" s="49"/>
      <c r="E47" s="49"/>
      <c r="F47" s="49"/>
      <c r="G47" s="49"/>
    </row>
    <row r="48" spans="1:9" s="2" customFormat="1" ht="17.850000000000001" customHeight="1" x14ac:dyDescent="0.3">
      <c r="A48" s="4"/>
      <c r="B48" s="50"/>
      <c r="C48" s="50"/>
      <c r="D48" s="50"/>
      <c r="E48" s="50"/>
      <c r="F48" s="50"/>
      <c r="G48" s="50"/>
    </row>
    <row r="49" spans="1:7" s="2" customFormat="1" ht="17.850000000000001" customHeight="1" x14ac:dyDescent="0.3">
      <c r="A49" s="4"/>
      <c r="B49" s="50"/>
      <c r="C49" s="50"/>
      <c r="D49" s="50"/>
      <c r="E49" s="50"/>
      <c r="F49" s="50"/>
      <c r="G49" s="50"/>
    </row>
    <row r="50" spans="1:7" s="2" customFormat="1" ht="17.850000000000001" customHeight="1" x14ac:dyDescent="0.3">
      <c r="A50" s="4"/>
      <c r="B50" s="4"/>
      <c r="C50" s="4"/>
      <c r="D50" s="4"/>
      <c r="E50" s="4"/>
      <c r="F50" s="4"/>
      <c r="G50" s="4"/>
    </row>
    <row r="51" spans="1:7" s="2" customFormat="1" ht="17.850000000000001" customHeight="1" x14ac:dyDescent="0.25"/>
    <row r="52" spans="1:7" s="2" customFormat="1" ht="17.850000000000001" customHeight="1" x14ac:dyDescent="0.25"/>
  </sheetData>
  <mergeCells count="8">
    <mergeCell ref="B29:F29"/>
    <mergeCell ref="B30:F30"/>
    <mergeCell ref="B20:F23"/>
    <mergeCell ref="B24:F24"/>
    <mergeCell ref="B28:F28"/>
    <mergeCell ref="B26:F26"/>
    <mergeCell ref="B25:F25"/>
    <mergeCell ref="B27:F27"/>
  </mergeCells>
  <printOptions horizontalCentered="1" verticalCentered="1"/>
  <pageMargins left="0.39370078740157483" right="0.39370078740157483" top="0.74803149606299213" bottom="0.74803149606299213" header="0.31496062992125984" footer="0.31496062992125984"/>
  <pageSetup paperSize="9" scale="65"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view="pageBreakPreview" zoomScale="70" zoomScaleNormal="70" zoomScaleSheetLayoutView="70" workbookViewId="0">
      <selection activeCell="F26" sqref="F26"/>
    </sheetView>
  </sheetViews>
  <sheetFormatPr baseColWidth="10" defaultColWidth="11.42578125" defaultRowHeight="15.75" x14ac:dyDescent="0.25"/>
  <cols>
    <col min="1" max="1" width="2.85546875" style="1" customWidth="1"/>
    <col min="2" max="2" width="11" style="1" customWidth="1"/>
    <col min="3" max="3" width="43.7109375" style="1" customWidth="1"/>
    <col min="4" max="4" width="51" style="1" customWidth="1"/>
    <col min="5" max="5" width="2.85546875" style="1" customWidth="1"/>
    <col min="6" max="6" width="24" style="1" bestFit="1" customWidth="1"/>
    <col min="7" max="8" width="2.85546875" style="1" customWidth="1"/>
    <col min="9" max="9" width="24" style="1" bestFit="1" customWidth="1"/>
    <col min="10" max="10" width="2.85546875" style="1" customWidth="1"/>
    <col min="11" max="11" width="24" style="1" bestFit="1" customWidth="1"/>
    <col min="12" max="12" width="2.85546875" style="1" customWidth="1"/>
    <col min="13" max="13" width="24" style="1" bestFit="1" customWidth="1"/>
    <col min="14" max="14" width="2.85546875" style="1" customWidth="1"/>
    <col min="15" max="15" width="22" style="1" bestFit="1" customWidth="1"/>
    <col min="16" max="16" width="2.85546875" style="1" customWidth="1"/>
    <col min="17" max="17" width="28.7109375" style="1" bestFit="1" customWidth="1"/>
    <col min="18" max="18" width="11.42578125" style="1"/>
    <col min="19" max="19" width="22.42578125" style="1" bestFit="1" customWidth="1"/>
    <col min="20" max="16384" width="11.42578125" style="1"/>
  </cols>
  <sheetData>
    <row r="1" spans="1:19" customFormat="1" ht="15" customHeight="1" thickBot="1" x14ac:dyDescent="0.35">
      <c r="A1" s="10"/>
      <c r="B1" s="10"/>
      <c r="C1" s="10"/>
      <c r="D1" s="11"/>
      <c r="E1" s="10"/>
      <c r="F1" s="10"/>
      <c r="G1" s="10"/>
      <c r="H1" s="10"/>
      <c r="I1" s="65"/>
      <c r="J1" s="65"/>
      <c r="K1" s="65"/>
      <c r="L1" s="65"/>
      <c r="M1" s="65"/>
      <c r="N1" s="65"/>
      <c r="O1" s="65"/>
      <c r="P1" s="65"/>
      <c r="Q1" s="65"/>
      <c r="R1" s="65"/>
      <c r="S1" s="65"/>
    </row>
    <row r="2" spans="1:19" customFormat="1" ht="30" customHeight="1" thickTop="1" thickBot="1" x14ac:dyDescent="0.35">
      <c r="A2" s="10"/>
      <c r="B2" s="248" t="s">
        <v>199</v>
      </c>
      <c r="C2" s="249"/>
      <c r="D2" s="249"/>
      <c r="E2" s="249"/>
      <c r="F2" s="250"/>
      <c r="G2" s="165"/>
      <c r="H2" s="166"/>
      <c r="I2" s="245" t="s">
        <v>61</v>
      </c>
      <c r="J2" s="246"/>
      <c r="K2" s="246"/>
      <c r="L2" s="246"/>
      <c r="M2" s="246"/>
      <c r="N2" s="246"/>
      <c r="O2" s="246"/>
      <c r="P2" s="246"/>
      <c r="Q2" s="247"/>
      <c r="R2" s="65"/>
      <c r="S2" s="65"/>
    </row>
    <row r="3" spans="1:19" customFormat="1" ht="9.9499999999999993" customHeight="1" thickTop="1" thickBot="1" x14ac:dyDescent="0.4">
      <c r="A3" s="10"/>
      <c r="B3" s="107"/>
      <c r="C3" s="107"/>
      <c r="D3" s="167"/>
      <c r="E3" s="107"/>
      <c r="F3" s="107"/>
      <c r="G3" s="107"/>
      <c r="H3" s="166"/>
      <c r="I3" s="168"/>
      <c r="J3" s="168"/>
      <c r="K3" s="168"/>
      <c r="L3" s="168"/>
      <c r="M3" s="168"/>
      <c r="N3" s="168"/>
      <c r="O3" s="168"/>
      <c r="P3" s="168"/>
      <c r="Q3" s="168"/>
      <c r="R3" s="65"/>
      <c r="S3" s="65"/>
    </row>
    <row r="4" spans="1:19" ht="14.25" customHeight="1" thickTop="1" x14ac:dyDescent="0.35">
      <c r="A4" s="4"/>
      <c r="B4" s="252" t="str">
        <f>Cliente_Fecha</f>
        <v>ENERO 2050</v>
      </c>
      <c r="C4" s="253"/>
      <c r="D4" s="256" t="str">
        <f>Proyecto</f>
        <v>REFORMA INTEGRAL DE ….</v>
      </c>
      <c r="E4" s="256"/>
      <c r="F4" s="256"/>
      <c r="G4" s="107"/>
      <c r="H4" s="166"/>
      <c r="I4" s="236" t="s">
        <v>175</v>
      </c>
      <c r="J4" s="237"/>
      <c r="K4" s="237"/>
      <c r="L4" s="237"/>
      <c r="M4" s="237"/>
      <c r="N4" s="237"/>
      <c r="O4" s="237"/>
      <c r="P4" s="237"/>
      <c r="Q4" s="238"/>
      <c r="R4" s="29"/>
      <c r="S4" s="29"/>
    </row>
    <row r="5" spans="1:19" ht="16.5" customHeight="1" x14ac:dyDescent="0.35">
      <c r="A5" s="4"/>
      <c r="B5" s="254"/>
      <c r="C5" s="254"/>
      <c r="D5" s="257"/>
      <c r="E5" s="257"/>
      <c r="F5" s="257"/>
      <c r="G5" s="107"/>
      <c r="H5" s="166"/>
      <c r="I5" s="239"/>
      <c r="J5" s="240"/>
      <c r="K5" s="240"/>
      <c r="L5" s="240"/>
      <c r="M5" s="240"/>
      <c r="N5" s="240"/>
      <c r="O5" s="240"/>
      <c r="P5" s="240"/>
      <c r="Q5" s="241"/>
      <c r="R5" s="29"/>
      <c r="S5" s="29"/>
    </row>
    <row r="6" spans="1:19" ht="17.25" customHeight="1" thickBot="1" x14ac:dyDescent="0.4">
      <c r="A6" s="4"/>
      <c r="B6" s="255"/>
      <c r="C6" s="255"/>
      <c r="D6" s="258"/>
      <c r="E6" s="258"/>
      <c r="F6" s="258"/>
      <c r="G6" s="107"/>
      <c r="H6" s="166"/>
      <c r="I6" s="242"/>
      <c r="J6" s="243"/>
      <c r="K6" s="243"/>
      <c r="L6" s="243"/>
      <c r="M6" s="243"/>
      <c r="N6" s="243"/>
      <c r="O6" s="243"/>
      <c r="P6" s="243"/>
      <c r="Q6" s="244"/>
      <c r="R6" s="29"/>
      <c r="S6" s="29"/>
    </row>
    <row r="7" spans="1:19" ht="9.9499999999999993" customHeight="1" thickTop="1" thickBot="1" x14ac:dyDescent="0.4">
      <c r="A7" s="4"/>
      <c r="B7" s="107"/>
      <c r="C7" s="132"/>
      <c r="D7" s="132"/>
      <c r="E7" s="107"/>
      <c r="F7" s="107"/>
      <c r="G7" s="107"/>
      <c r="H7" s="166"/>
      <c r="I7" s="169"/>
      <c r="J7" s="169"/>
      <c r="K7" s="169"/>
      <c r="L7" s="169"/>
      <c r="M7" s="169"/>
      <c r="N7" s="169"/>
      <c r="O7" s="169"/>
      <c r="P7" s="169"/>
      <c r="Q7" s="169"/>
      <c r="R7" s="29"/>
      <c r="S7" s="229" t="s">
        <v>173</v>
      </c>
    </row>
    <row r="8" spans="1:19" ht="22.5" thickTop="1" thickBot="1" x14ac:dyDescent="0.4">
      <c r="A8" s="4"/>
      <c r="B8" s="259" t="s">
        <v>8</v>
      </c>
      <c r="C8" s="260"/>
      <c r="D8" s="261"/>
      <c r="E8" s="107"/>
      <c r="F8" s="180" t="s">
        <v>0</v>
      </c>
      <c r="G8" s="107"/>
      <c r="H8" s="166"/>
      <c r="I8" s="180" t="s">
        <v>143</v>
      </c>
      <c r="J8" s="169"/>
      <c r="K8" s="180" t="s">
        <v>144</v>
      </c>
      <c r="L8" s="169"/>
      <c r="M8" s="180" t="s">
        <v>58</v>
      </c>
      <c r="N8" s="169"/>
      <c r="O8" s="180" t="s">
        <v>59</v>
      </c>
      <c r="P8" s="169"/>
      <c r="Q8" s="180" t="s">
        <v>174</v>
      </c>
      <c r="R8" s="29"/>
      <c r="S8" s="230"/>
    </row>
    <row r="9" spans="1:19" ht="9.9499999999999993" customHeight="1" thickTop="1" x14ac:dyDescent="0.35">
      <c r="A9" s="4"/>
      <c r="B9" s="107"/>
      <c r="C9" s="136"/>
      <c r="D9" s="136"/>
      <c r="E9" s="107"/>
      <c r="F9" s="133"/>
      <c r="G9" s="107"/>
      <c r="H9" s="166"/>
      <c r="I9" s="169"/>
      <c r="J9" s="169"/>
      <c r="K9" s="169"/>
      <c r="L9" s="169"/>
      <c r="M9" s="169"/>
      <c r="N9" s="169"/>
      <c r="O9" s="169"/>
      <c r="P9" s="169"/>
      <c r="Q9" s="169"/>
      <c r="R9" s="29"/>
      <c r="S9" s="230"/>
    </row>
    <row r="10" spans="1:19" ht="19.5" customHeight="1" x14ac:dyDescent="0.35">
      <c r="A10" s="4"/>
      <c r="B10" s="177" t="str">
        <f>'Derribos - Albañilería'!B2</f>
        <v>A</v>
      </c>
      <c r="C10" s="232" t="str">
        <f>'Derribos - Albañilería'!C2</f>
        <v>DERRIBOS, DESMONTAJE Y TRASLADOS</v>
      </c>
      <c r="D10" s="233"/>
      <c r="E10" s="107"/>
      <c r="F10" s="175">
        <f>Total_Derribos</f>
        <v>605</v>
      </c>
      <c r="G10" s="107"/>
      <c r="H10" s="166"/>
      <c r="I10" s="170">
        <f>M.O._Derribos</f>
        <v>550</v>
      </c>
      <c r="J10" s="169"/>
      <c r="K10" s="170">
        <f>Mat_Derribos</f>
        <v>0</v>
      </c>
      <c r="L10" s="169"/>
      <c r="M10" s="170">
        <f>Obra_Derribos</f>
        <v>550</v>
      </c>
      <c r="N10" s="169"/>
      <c r="O10" s="170">
        <f>B.I._Derribo</f>
        <v>55.000000000000014</v>
      </c>
      <c r="P10" s="169"/>
      <c r="Q10" s="170">
        <f>M10+O10</f>
        <v>605</v>
      </c>
      <c r="R10" s="29"/>
      <c r="S10" s="174">
        <f>I10+K10</f>
        <v>550</v>
      </c>
    </row>
    <row r="11" spans="1:19" ht="19.5" customHeight="1" x14ac:dyDescent="0.35">
      <c r="A11" s="4"/>
      <c r="B11" s="185" t="str">
        <f>'Derribos - Albañilería'!B21</f>
        <v>B</v>
      </c>
      <c r="C11" s="234" t="str">
        <f>'Derribos - Albañilería'!C21</f>
        <v>ALBAÑILERÍA / TABIQUERÍA Y TECHOS</v>
      </c>
      <c r="D11" s="235"/>
      <c r="E11" s="107"/>
      <c r="F11" s="186">
        <f>Total_Albañilería</f>
        <v>3773.0000000000005</v>
      </c>
      <c r="G11" s="107"/>
      <c r="H11" s="166"/>
      <c r="I11" s="187">
        <f>M.O._Albañilería</f>
        <v>3430</v>
      </c>
      <c r="J11" s="169"/>
      <c r="K11" s="187">
        <f>Mat_Alañilería</f>
        <v>0</v>
      </c>
      <c r="L11" s="169"/>
      <c r="M11" s="187">
        <f>Obra_Albañilería</f>
        <v>3430</v>
      </c>
      <c r="N11" s="169"/>
      <c r="O11" s="187">
        <f>B.I._AlbañilerÍa</f>
        <v>343.00000000000045</v>
      </c>
      <c r="P11" s="169"/>
      <c r="Q11" s="187">
        <f t="shared" ref="Q11:Q22" si="0">M11+O11</f>
        <v>3773.0000000000005</v>
      </c>
      <c r="R11" s="29"/>
      <c r="S11" s="174">
        <f t="shared" ref="S11:S22" si="1">I11+K11</f>
        <v>3430</v>
      </c>
    </row>
    <row r="12" spans="1:19" ht="19.5" customHeight="1" x14ac:dyDescent="0.35">
      <c r="A12" s="4"/>
      <c r="B12" s="177" t="str">
        <f>'Revestimientos - Pavimentos'!B2</f>
        <v>C</v>
      </c>
      <c r="C12" s="232" t="str">
        <f>'Revestimientos - Pavimentos'!C2</f>
        <v>REVESTIMIENTOS</v>
      </c>
      <c r="D12" s="233"/>
      <c r="E12" s="107"/>
      <c r="F12" s="176">
        <f>Total_Revestimientos</f>
        <v>5785.3807000000006</v>
      </c>
      <c r="G12" s="107"/>
      <c r="H12" s="166"/>
      <c r="I12" s="171">
        <f>M.O._Revestimientos</f>
        <v>3396.3382500000002</v>
      </c>
      <c r="J12" s="169"/>
      <c r="K12" s="171">
        <f>Mat_Revestimientos</f>
        <v>1863.0987500000001</v>
      </c>
      <c r="L12" s="169"/>
      <c r="M12" s="171">
        <f>Obra_Revestimientos</f>
        <v>5259.4369999999999</v>
      </c>
      <c r="N12" s="169"/>
      <c r="O12" s="171">
        <f>B.I._Revestimientos</f>
        <v>525.9437000000006</v>
      </c>
      <c r="P12" s="169"/>
      <c r="Q12" s="170">
        <f t="shared" si="0"/>
        <v>5785.3807000000006</v>
      </c>
      <c r="R12" s="29"/>
      <c r="S12" s="174">
        <f t="shared" si="1"/>
        <v>5259.4369999999999</v>
      </c>
    </row>
    <row r="13" spans="1:19" ht="19.5" customHeight="1" x14ac:dyDescent="0.35">
      <c r="A13" s="4"/>
      <c r="B13" s="185" t="str">
        <f>'Revestimientos - Pavimentos'!B21</f>
        <v>D</v>
      </c>
      <c r="C13" s="234" t="str">
        <f>'Revestimientos - Pavimentos'!C21</f>
        <v>PAVIMENTOS</v>
      </c>
      <c r="D13" s="235"/>
      <c r="E13" s="107"/>
      <c r="F13" s="186">
        <f>Total_Pavimentos</f>
        <v>3498.7919999999999</v>
      </c>
      <c r="G13" s="107"/>
      <c r="H13" s="166"/>
      <c r="I13" s="187">
        <f>M.O._Pavimentos</f>
        <v>1577.3200000000002</v>
      </c>
      <c r="J13" s="169"/>
      <c r="K13" s="187">
        <f>Mat_Pavimentos</f>
        <v>1603.3999999999999</v>
      </c>
      <c r="L13" s="169"/>
      <c r="M13" s="187">
        <f>Obra_Pavimentos</f>
        <v>3180.72</v>
      </c>
      <c r="N13" s="169"/>
      <c r="O13" s="187">
        <f>B.I._Pavimentos</f>
        <v>318.07200000000006</v>
      </c>
      <c r="P13" s="169"/>
      <c r="Q13" s="187">
        <f t="shared" si="0"/>
        <v>3498.7919999999999</v>
      </c>
      <c r="R13" s="29"/>
      <c r="S13" s="174">
        <f t="shared" si="1"/>
        <v>3180.7200000000003</v>
      </c>
    </row>
    <row r="14" spans="1:19" ht="19.5" customHeight="1" x14ac:dyDescent="0.35">
      <c r="A14" s="4"/>
      <c r="B14" s="177" t="str">
        <f>'Carp_A - Carp_M'!B2</f>
        <v>E</v>
      </c>
      <c r="C14" s="232" t="str">
        <f>'Carp_A - Carp_M'!C2</f>
        <v>CARPINTERÍA DE ALUMINIO</v>
      </c>
      <c r="D14" s="233"/>
      <c r="E14" s="107"/>
      <c r="F14" s="176">
        <f>Total_Carpinterías_A</f>
        <v>5220.2700000000004</v>
      </c>
      <c r="G14" s="107"/>
      <c r="H14" s="166"/>
      <c r="I14" s="171">
        <f>M.O._Carpintería_A</f>
        <v>20</v>
      </c>
      <c r="J14" s="169"/>
      <c r="K14" s="171">
        <f>Mat_Carpintería_A</f>
        <v>4725.7</v>
      </c>
      <c r="L14" s="169"/>
      <c r="M14" s="171">
        <f>Obra_Carpintería_A</f>
        <v>4745.7</v>
      </c>
      <c r="N14" s="169"/>
      <c r="O14" s="171">
        <f>B.I._Carpinterías_A</f>
        <v>474.57000000000033</v>
      </c>
      <c r="P14" s="169"/>
      <c r="Q14" s="170">
        <f t="shared" si="0"/>
        <v>5220.2700000000004</v>
      </c>
      <c r="R14" s="29"/>
      <c r="S14" s="174">
        <f t="shared" si="1"/>
        <v>4745.7</v>
      </c>
    </row>
    <row r="15" spans="1:19" ht="19.5" customHeight="1" x14ac:dyDescent="0.35">
      <c r="A15" s="4"/>
      <c r="B15" s="185" t="str">
        <f>'Carp_A - Carp_M'!B21</f>
        <v>F</v>
      </c>
      <c r="C15" s="234" t="str">
        <f>'Carp_A - Carp_M'!C21</f>
        <v>CARPINTERÍA DE MADERA</v>
      </c>
      <c r="D15" s="235"/>
      <c r="E15" s="107"/>
      <c r="F15" s="186">
        <f>Total_Carpinterías_M</f>
        <v>2002.0000000000002</v>
      </c>
      <c r="G15" s="107"/>
      <c r="H15" s="166"/>
      <c r="I15" s="187">
        <f>M.O._Carpintería_M</f>
        <v>1820</v>
      </c>
      <c r="J15" s="169"/>
      <c r="K15" s="187">
        <f>Mat_Carpintería_M</f>
        <v>0</v>
      </c>
      <c r="L15" s="169"/>
      <c r="M15" s="187">
        <f>Obra_Carpintería_M</f>
        <v>1820</v>
      </c>
      <c r="N15" s="169"/>
      <c r="O15" s="187">
        <f>B.I._Carpinterías_M</f>
        <v>182.00000000000017</v>
      </c>
      <c r="P15" s="169"/>
      <c r="Q15" s="187">
        <f t="shared" si="0"/>
        <v>2002.0000000000002</v>
      </c>
      <c r="R15" s="29"/>
      <c r="S15" s="174">
        <f t="shared" si="1"/>
        <v>1820</v>
      </c>
    </row>
    <row r="16" spans="1:19" ht="24" x14ac:dyDescent="0.35">
      <c r="A16" s="4"/>
      <c r="B16" s="177" t="str">
        <f>'Mobiliario - Electrodomésticos'!B2</f>
        <v>G</v>
      </c>
      <c r="C16" s="232" t="str">
        <f>'Mobiliario - Electrodomésticos'!C2</f>
        <v>MOBILIARIO, ACCESORIOS Y MOBILIARIO SANITARIO</v>
      </c>
      <c r="D16" s="233"/>
      <c r="E16" s="107"/>
      <c r="F16" s="176">
        <f>Total_Mobiliario</f>
        <v>5730.4500000000007</v>
      </c>
      <c r="G16" s="107"/>
      <c r="H16" s="166"/>
      <c r="I16" s="171">
        <f>M.O._Mobiliario</f>
        <v>885</v>
      </c>
      <c r="J16" s="169"/>
      <c r="K16" s="171">
        <f>Mat_Mobiliario</f>
        <v>4324.5</v>
      </c>
      <c r="L16" s="169"/>
      <c r="M16" s="171">
        <f>Obra_Mobiliario</f>
        <v>5209.5</v>
      </c>
      <c r="N16" s="169"/>
      <c r="O16" s="171">
        <f>B.I._Mobiliario</f>
        <v>520.95000000000073</v>
      </c>
      <c r="P16" s="169"/>
      <c r="Q16" s="170">
        <f t="shared" si="0"/>
        <v>5730.4500000000007</v>
      </c>
      <c r="R16" s="29"/>
      <c r="S16" s="174">
        <f t="shared" si="1"/>
        <v>5209.5</v>
      </c>
    </row>
    <row r="17" spans="1:19" ht="19.5" customHeight="1" x14ac:dyDescent="0.35">
      <c r="A17" s="4"/>
      <c r="B17" s="185" t="str">
        <f>'Mobiliario - Electrodomésticos'!B21</f>
        <v>H</v>
      </c>
      <c r="C17" s="234" t="str">
        <f>'Mobiliario - Electrodomésticos'!C21</f>
        <v>ELECTRODOMÉSTICOS</v>
      </c>
      <c r="D17" s="235"/>
      <c r="E17" s="107"/>
      <c r="F17" s="186">
        <f>Total_Electrodomésticos</f>
        <v>1105.5</v>
      </c>
      <c r="G17" s="107"/>
      <c r="H17" s="166"/>
      <c r="I17" s="187">
        <f>M.O._Electrodomésticos</f>
        <v>50</v>
      </c>
      <c r="J17" s="169"/>
      <c r="K17" s="187">
        <f>Mat_Electrodomésticos</f>
        <v>955</v>
      </c>
      <c r="L17" s="169"/>
      <c r="M17" s="187">
        <f>Obra_Electrodomésticos</f>
        <v>1005</v>
      </c>
      <c r="N17" s="169"/>
      <c r="O17" s="187">
        <f>B.I._Electrodomésticos</f>
        <v>100.50000000000006</v>
      </c>
      <c r="P17" s="169"/>
      <c r="Q17" s="187">
        <f t="shared" si="0"/>
        <v>1105.5</v>
      </c>
      <c r="R17" s="29"/>
      <c r="S17" s="174">
        <f t="shared" si="1"/>
        <v>1005</v>
      </c>
    </row>
    <row r="18" spans="1:19" ht="19.5" customHeight="1" x14ac:dyDescent="0.35">
      <c r="A18" s="4"/>
      <c r="B18" s="177" t="str">
        <f>'Inst_E - Inst_L'!B2</f>
        <v>I</v>
      </c>
      <c r="C18" s="232" t="str">
        <f>'Inst_E - Inst_L'!C2</f>
        <v>INSTALACIONES ELÉCTRICAS</v>
      </c>
      <c r="D18" s="233"/>
      <c r="E18" s="107"/>
      <c r="F18" s="175">
        <f>Total_Instalaciones_E</f>
        <v>4103</v>
      </c>
      <c r="G18" s="107"/>
      <c r="H18" s="166"/>
      <c r="I18" s="170">
        <f>M.O._Instalaciones_E</f>
        <v>3730</v>
      </c>
      <c r="J18" s="169"/>
      <c r="K18" s="170">
        <f>Mat_Instalaciones_E</f>
        <v>0</v>
      </c>
      <c r="L18" s="169"/>
      <c r="M18" s="170">
        <f>Obra_Instalaciones_E</f>
        <v>3730</v>
      </c>
      <c r="N18" s="169"/>
      <c r="O18" s="170">
        <f>B.I._Instalaciones_E</f>
        <v>373.00000000000011</v>
      </c>
      <c r="P18" s="169"/>
      <c r="Q18" s="170">
        <f t="shared" si="0"/>
        <v>4103</v>
      </c>
      <c r="R18" s="29"/>
      <c r="S18" s="174">
        <f t="shared" si="1"/>
        <v>3730</v>
      </c>
    </row>
    <row r="19" spans="1:19" ht="19.5" customHeight="1" x14ac:dyDescent="0.35">
      <c r="A19" s="4"/>
      <c r="B19" s="185" t="str">
        <f>'Inst_E - Inst_L'!B31</f>
        <v>J</v>
      </c>
      <c r="C19" s="234" t="str">
        <f>'Inst_E - Inst_L'!C31</f>
        <v>LUMINARIAS</v>
      </c>
      <c r="D19" s="235"/>
      <c r="E19" s="107"/>
      <c r="F19" s="186">
        <f>Total_Instalaciones_L</f>
        <v>1222.4575000000002</v>
      </c>
      <c r="G19" s="107"/>
      <c r="H19" s="166"/>
      <c r="I19" s="187">
        <f>M.O._Instalaciones_L</f>
        <v>340</v>
      </c>
      <c r="J19" s="169"/>
      <c r="K19" s="187">
        <f>Mat_Instalaciones_L</f>
        <v>771.32500000000005</v>
      </c>
      <c r="L19" s="169"/>
      <c r="M19" s="187">
        <f>Obra_Instalaciones_L</f>
        <v>1111.325</v>
      </c>
      <c r="N19" s="169"/>
      <c r="O19" s="187">
        <f>B.I._Instalaciones_L</f>
        <v>111.13250000000004</v>
      </c>
      <c r="P19" s="169"/>
      <c r="Q19" s="187">
        <f t="shared" si="0"/>
        <v>1222.4575</v>
      </c>
      <c r="R19" s="29"/>
      <c r="S19" s="174">
        <f t="shared" si="1"/>
        <v>1111.325</v>
      </c>
    </row>
    <row r="20" spans="1:19" ht="19.5" customHeight="1" x14ac:dyDescent="0.35">
      <c r="A20" s="4"/>
      <c r="B20" s="177" t="str">
        <f>'Inst_C - Inst_A'!B2</f>
        <v>K</v>
      </c>
      <c r="C20" s="232" t="str">
        <f>'Inst_C - Inst_A'!C2</f>
        <v>INSTALACIÓN DE CLIMATIZACIÓN Y GAS</v>
      </c>
      <c r="D20" s="233"/>
      <c r="E20" s="107"/>
      <c r="F20" s="175">
        <f>Total_Instalaciones_C</f>
        <v>4180</v>
      </c>
      <c r="G20" s="107"/>
      <c r="H20" s="166"/>
      <c r="I20" s="170">
        <f>M.O._Instalaciones_C</f>
        <v>3800</v>
      </c>
      <c r="J20" s="169"/>
      <c r="K20" s="170">
        <f>Mat_Instalaciones_C</f>
        <v>0</v>
      </c>
      <c r="L20" s="169"/>
      <c r="M20" s="170">
        <f>Obra_Instalaciones_C</f>
        <v>3800</v>
      </c>
      <c r="N20" s="169"/>
      <c r="O20" s="170">
        <f>B.I._Instalaciones_C</f>
        <v>380</v>
      </c>
      <c r="P20" s="169"/>
      <c r="Q20" s="170">
        <f t="shared" si="0"/>
        <v>4180</v>
      </c>
      <c r="R20" s="29"/>
      <c r="S20" s="174">
        <f t="shared" si="1"/>
        <v>3800</v>
      </c>
    </row>
    <row r="21" spans="1:19" ht="19.5" customHeight="1" x14ac:dyDescent="0.35">
      <c r="A21" s="4"/>
      <c r="B21" s="185" t="str">
        <f>'Inst_C - Inst_A'!B21</f>
        <v>L</v>
      </c>
      <c r="C21" s="234" t="str">
        <f>'Inst_C - Inst_A'!C21</f>
        <v>INSTALACIÓN DE AGUA Y RED SANITARIA</v>
      </c>
      <c r="D21" s="235"/>
      <c r="E21" s="107"/>
      <c r="F21" s="186">
        <f>Total_Instalaciones_A</f>
        <v>660</v>
      </c>
      <c r="G21" s="107"/>
      <c r="H21" s="166"/>
      <c r="I21" s="187">
        <f>M.O._Instalaciones_A</f>
        <v>600</v>
      </c>
      <c r="J21" s="169"/>
      <c r="K21" s="187">
        <f>Mat_Instalaciones_A</f>
        <v>0</v>
      </c>
      <c r="L21" s="169"/>
      <c r="M21" s="187">
        <f>Obra_Instalaciones_A</f>
        <v>600</v>
      </c>
      <c r="N21" s="169"/>
      <c r="O21" s="187">
        <f>B.I._Instalaciones_A</f>
        <v>60</v>
      </c>
      <c r="P21" s="169"/>
      <c r="Q21" s="187">
        <f t="shared" si="0"/>
        <v>660</v>
      </c>
      <c r="R21" s="29"/>
      <c r="S21" s="174">
        <f t="shared" si="1"/>
        <v>600</v>
      </c>
    </row>
    <row r="22" spans="1:19" ht="19.5" customHeight="1" x14ac:dyDescent="0.35">
      <c r="A22" s="4"/>
      <c r="B22" s="177" t="str">
        <f>Pintura!B2</f>
        <v>M</v>
      </c>
      <c r="C22" s="232" t="str">
        <f>Pintura!C2</f>
        <v>PINTURA</v>
      </c>
      <c r="D22" s="233"/>
      <c r="E22" s="107"/>
      <c r="F22" s="175">
        <f>Total_Pintura</f>
        <v>3476.0000000000005</v>
      </c>
      <c r="G22" s="107"/>
      <c r="H22" s="166"/>
      <c r="I22" s="170">
        <f>M.O._Pintura</f>
        <v>3160</v>
      </c>
      <c r="J22" s="169"/>
      <c r="K22" s="170">
        <f>Mat_Pintura</f>
        <v>0</v>
      </c>
      <c r="L22" s="169"/>
      <c r="M22" s="170">
        <f>Obra_Pintura</f>
        <v>3160</v>
      </c>
      <c r="N22" s="169"/>
      <c r="O22" s="170">
        <f>B.I._Pintura</f>
        <v>316.00000000000017</v>
      </c>
      <c r="P22" s="169"/>
      <c r="Q22" s="170">
        <f t="shared" si="0"/>
        <v>3476</v>
      </c>
      <c r="R22" s="29"/>
      <c r="S22" s="174">
        <f t="shared" si="1"/>
        <v>3160</v>
      </c>
    </row>
    <row r="23" spans="1:19" ht="9.9499999999999993" customHeight="1" thickBot="1" x14ac:dyDescent="0.4">
      <c r="A23" s="4"/>
      <c r="B23" s="107"/>
      <c r="C23" s="251"/>
      <c r="D23" s="251"/>
      <c r="E23" s="107"/>
      <c r="F23" s="107"/>
      <c r="G23" s="107"/>
      <c r="H23" s="166"/>
      <c r="I23" s="169"/>
      <c r="J23" s="169"/>
      <c r="K23" s="169"/>
      <c r="L23" s="169"/>
      <c r="M23" s="169"/>
      <c r="N23" s="169"/>
      <c r="O23" s="169"/>
      <c r="P23" s="169"/>
      <c r="Q23" s="169"/>
      <c r="R23" s="29"/>
      <c r="S23" s="173"/>
    </row>
    <row r="24" spans="1:19" ht="22.5" thickTop="1" thickBot="1" x14ac:dyDescent="0.4">
      <c r="A24" s="4"/>
      <c r="B24" s="226" t="s">
        <v>2</v>
      </c>
      <c r="C24" s="227"/>
      <c r="D24" s="228"/>
      <c r="E24" s="133"/>
      <c r="F24" s="172">
        <f>SUM(F10:F23)</f>
        <v>41361.850200000001</v>
      </c>
      <c r="G24" s="107"/>
      <c r="H24" s="166"/>
      <c r="I24" s="172">
        <f>SUM(I10:I23)</f>
        <v>23358.65825</v>
      </c>
      <c r="J24" s="169"/>
      <c r="K24" s="172">
        <f>SUM(K10:K23)</f>
        <v>14243.02375</v>
      </c>
      <c r="L24" s="169"/>
      <c r="M24" s="172">
        <f>SUM(M10:M23)</f>
        <v>37601.682000000001</v>
      </c>
      <c r="N24" s="169"/>
      <c r="O24" s="172">
        <f>SUM(O10:O23)</f>
        <v>3760.1682000000023</v>
      </c>
      <c r="P24" s="169"/>
      <c r="Q24" s="172">
        <f>SUM(Q10:Q22)</f>
        <v>41361.850200000001</v>
      </c>
      <c r="R24" s="29"/>
      <c r="S24" s="174">
        <f>SUM(S10:S23)</f>
        <v>37601.682000000001</v>
      </c>
    </row>
    <row r="25" spans="1:19" ht="9.9499999999999993" customHeight="1" thickTop="1" thickBot="1" x14ac:dyDescent="0.35">
      <c r="A25" s="4"/>
      <c r="B25" s="9"/>
      <c r="C25" s="9"/>
      <c r="D25" s="9"/>
      <c r="E25" s="4"/>
      <c r="F25" s="4"/>
      <c r="G25" s="4"/>
      <c r="H25" s="116"/>
      <c r="I25" s="29"/>
      <c r="J25" s="29"/>
      <c r="K25" s="29"/>
      <c r="L25" s="29"/>
      <c r="M25" s="29"/>
      <c r="N25" s="29"/>
      <c r="O25" s="29"/>
      <c r="P25" s="29"/>
      <c r="Q25" s="29"/>
      <c r="R25" s="29"/>
      <c r="S25" s="29"/>
    </row>
    <row r="26" spans="1:19" ht="21.75" customHeight="1" thickTop="1" thickBot="1" x14ac:dyDescent="0.4">
      <c r="A26" s="4"/>
      <c r="B26" s="223" t="s">
        <v>172</v>
      </c>
      <c r="C26" s="224"/>
      <c r="D26" s="225"/>
      <c r="E26" s="4"/>
      <c r="F26" s="179">
        <f>Superficie__m²</f>
        <v>100</v>
      </c>
      <c r="G26" s="4"/>
      <c r="H26" s="116"/>
      <c r="I26" s="29"/>
      <c r="J26" s="29"/>
      <c r="K26" s="29"/>
      <c r="L26" s="29"/>
      <c r="M26" s="29"/>
      <c r="N26" s="29"/>
      <c r="O26" s="29"/>
      <c r="P26" s="29"/>
      <c r="Q26" s="29"/>
      <c r="R26" s="29"/>
      <c r="S26" s="29"/>
    </row>
    <row r="27" spans="1:19" ht="9.9499999999999993" customHeight="1" thickTop="1" thickBot="1" x14ac:dyDescent="0.35">
      <c r="A27" s="4"/>
      <c r="B27" s="9"/>
      <c r="C27" s="9"/>
      <c r="D27" s="9"/>
      <c r="E27" s="4"/>
      <c r="F27" s="4"/>
      <c r="G27" s="4"/>
      <c r="H27" s="116"/>
      <c r="I27" s="29"/>
      <c r="J27" s="29"/>
      <c r="K27" s="29"/>
      <c r="L27" s="29"/>
      <c r="M27" s="29"/>
      <c r="N27" s="29"/>
      <c r="O27" s="29"/>
      <c r="P27" s="29"/>
      <c r="Q27" s="29"/>
      <c r="R27" s="29"/>
      <c r="S27" s="29"/>
    </row>
    <row r="28" spans="1:19" ht="21.75" customHeight="1" thickTop="1" thickBot="1" x14ac:dyDescent="0.4">
      <c r="A28" s="4"/>
      <c r="B28" s="223" t="s">
        <v>189</v>
      </c>
      <c r="C28" s="224"/>
      <c r="D28" s="225"/>
      <c r="E28" s="4"/>
      <c r="F28" s="178">
        <f>Total_Resumen/Superficie__m²</f>
        <v>413.61850200000003</v>
      </c>
      <c r="G28" s="4"/>
      <c r="H28" s="116"/>
      <c r="I28" s="29"/>
      <c r="J28" s="29"/>
      <c r="K28" s="29"/>
      <c r="L28" s="29"/>
      <c r="M28" s="29"/>
      <c r="N28" s="29"/>
      <c r="O28" s="29"/>
      <c r="P28" s="29"/>
      <c r="Q28" s="29"/>
      <c r="R28" s="29"/>
      <c r="S28" s="29"/>
    </row>
    <row r="29" spans="1:19" ht="9.9499999999999993" customHeight="1" thickTop="1" thickBot="1" x14ac:dyDescent="0.35">
      <c r="A29" s="4"/>
      <c r="B29" s="9"/>
      <c r="C29" s="9"/>
      <c r="D29" s="9"/>
      <c r="E29" s="4"/>
      <c r="F29" s="4"/>
      <c r="G29" s="4"/>
      <c r="H29" s="116"/>
      <c r="I29" s="29"/>
      <c r="J29" s="29"/>
      <c r="K29" s="29"/>
      <c r="L29" s="29"/>
      <c r="M29" s="29"/>
      <c r="N29" s="29"/>
      <c r="O29" s="29"/>
      <c r="P29" s="29"/>
      <c r="Q29" s="29"/>
      <c r="R29" s="29"/>
      <c r="S29" s="29"/>
    </row>
    <row r="30" spans="1:19" ht="28.5" customHeight="1" thickTop="1" thickBot="1" x14ac:dyDescent="0.35">
      <c r="A30" s="4"/>
      <c r="B30" s="248" t="s">
        <v>190</v>
      </c>
      <c r="C30" s="249"/>
      <c r="D30" s="249"/>
      <c r="E30" s="249"/>
      <c r="F30" s="250"/>
      <c r="G30" s="4"/>
      <c r="H30" s="116"/>
      <c r="I30" s="231"/>
      <c r="J30" s="231"/>
      <c r="K30" s="231"/>
      <c r="L30" s="29"/>
      <c r="M30" s="29"/>
      <c r="N30" s="29"/>
      <c r="O30" s="29"/>
      <c r="P30" s="29"/>
      <c r="Q30" s="29"/>
      <c r="R30" s="29"/>
      <c r="S30" s="29"/>
    </row>
    <row r="31" spans="1:19" ht="9.9499999999999993" customHeight="1" thickTop="1" thickBot="1" x14ac:dyDescent="0.35">
      <c r="A31" s="7"/>
      <c r="B31" s="268"/>
      <c r="C31" s="268"/>
      <c r="D31" s="268"/>
      <c r="E31" s="268"/>
      <c r="F31" s="268"/>
      <c r="G31" s="4"/>
      <c r="H31" s="116"/>
      <c r="I31" s="29"/>
      <c r="J31" s="29"/>
      <c r="K31" s="29"/>
      <c r="L31" s="29"/>
      <c r="M31" s="29"/>
      <c r="N31" s="29"/>
      <c r="O31" s="29"/>
      <c r="P31" s="29"/>
      <c r="Q31" s="29"/>
      <c r="R31" s="29"/>
      <c r="S31" s="29"/>
    </row>
    <row r="32" spans="1:19" ht="48.75" customHeight="1" thickTop="1" x14ac:dyDescent="0.3">
      <c r="A32" s="7"/>
      <c r="B32" s="265" t="s">
        <v>18</v>
      </c>
      <c r="C32" s="266"/>
      <c r="D32" s="266"/>
      <c r="E32" s="266"/>
      <c r="F32" s="267"/>
      <c r="G32" s="4"/>
      <c r="H32" s="116"/>
      <c r="I32" s="217"/>
      <c r="J32" s="217"/>
      <c r="K32" s="118"/>
      <c r="L32" s="76"/>
      <c r="M32" s="217"/>
      <c r="N32" s="217"/>
      <c r="O32" s="117"/>
      <c r="P32" s="29"/>
      <c r="Q32" s="29"/>
      <c r="R32" s="29"/>
      <c r="S32" s="29"/>
    </row>
    <row r="33" spans="1:19" ht="43.5" customHeight="1" x14ac:dyDescent="0.3">
      <c r="A33" s="7"/>
      <c r="B33" s="262" t="s">
        <v>195</v>
      </c>
      <c r="C33" s="263"/>
      <c r="D33" s="263"/>
      <c r="E33" s="263"/>
      <c r="F33" s="264"/>
      <c r="G33" s="4"/>
      <c r="H33" s="116"/>
      <c r="I33" s="188"/>
      <c r="J33" s="188"/>
      <c r="K33" s="118"/>
      <c r="L33" s="76"/>
      <c r="M33" s="188"/>
      <c r="N33" s="188"/>
      <c r="O33" s="117"/>
      <c r="P33" s="29"/>
      <c r="Q33" s="29"/>
      <c r="R33" s="29"/>
      <c r="S33" s="29"/>
    </row>
    <row r="34" spans="1:19" ht="48.75" customHeight="1" x14ac:dyDescent="0.3">
      <c r="A34" s="4"/>
      <c r="B34" s="218" t="s">
        <v>19</v>
      </c>
      <c r="C34" s="216"/>
      <c r="D34" s="216"/>
      <c r="E34" s="216"/>
      <c r="F34" s="219"/>
      <c r="G34" s="4"/>
      <c r="H34" s="116"/>
      <c r="I34" s="217"/>
      <c r="J34" s="217"/>
      <c r="K34" s="118"/>
      <c r="L34" s="29"/>
      <c r="M34" s="29"/>
      <c r="N34" s="29"/>
      <c r="O34" s="29"/>
      <c r="P34" s="29"/>
      <c r="Q34" s="29"/>
      <c r="R34" s="29"/>
      <c r="S34" s="29"/>
    </row>
    <row r="35" spans="1:19" ht="74.25" customHeight="1" x14ac:dyDescent="0.3">
      <c r="A35" s="4"/>
      <c r="B35" s="218" t="s">
        <v>191</v>
      </c>
      <c r="C35" s="216"/>
      <c r="D35" s="216"/>
      <c r="E35" s="216"/>
      <c r="F35" s="219"/>
      <c r="G35" s="4"/>
      <c r="H35" s="116"/>
      <c r="I35" s="217"/>
      <c r="J35" s="217"/>
      <c r="K35" s="118"/>
      <c r="L35" s="29"/>
      <c r="M35" s="29"/>
      <c r="N35" s="29"/>
      <c r="O35" s="29"/>
      <c r="P35" s="29"/>
      <c r="Q35" s="29"/>
      <c r="R35" s="29"/>
      <c r="S35" s="29"/>
    </row>
    <row r="36" spans="1:19" ht="21" x14ac:dyDescent="0.3">
      <c r="A36" s="4"/>
      <c r="B36" s="218" t="s">
        <v>20</v>
      </c>
      <c r="C36" s="216"/>
      <c r="D36" s="216"/>
      <c r="E36" s="216"/>
      <c r="F36" s="219"/>
      <c r="G36" s="4"/>
      <c r="H36" s="116"/>
      <c r="I36" s="217"/>
      <c r="J36" s="217"/>
      <c r="K36" s="117"/>
      <c r="L36" s="29"/>
      <c r="M36" s="29"/>
      <c r="N36" s="29"/>
      <c r="O36" s="29"/>
      <c r="P36" s="29"/>
      <c r="Q36" s="29"/>
      <c r="R36" s="29"/>
      <c r="S36" s="29"/>
    </row>
    <row r="37" spans="1:19" ht="68.25" customHeight="1" x14ac:dyDescent="0.3">
      <c r="A37" s="4"/>
      <c r="B37" s="218" t="s">
        <v>192</v>
      </c>
      <c r="C37" s="216"/>
      <c r="D37" s="216"/>
      <c r="E37" s="216"/>
      <c r="F37" s="219"/>
      <c r="G37" s="4"/>
      <c r="H37" s="116"/>
      <c r="I37" s="29"/>
      <c r="J37" s="29"/>
      <c r="K37" s="29"/>
      <c r="L37" s="29"/>
      <c r="M37" s="29"/>
      <c r="N37" s="29"/>
      <c r="O37" s="29"/>
      <c r="P37" s="29"/>
      <c r="Q37" s="29"/>
      <c r="R37" s="29"/>
      <c r="S37" s="29"/>
    </row>
    <row r="38" spans="1:19" ht="51" customHeight="1" x14ac:dyDescent="0.3">
      <c r="A38" s="4"/>
      <c r="B38" s="218" t="s">
        <v>193</v>
      </c>
      <c r="C38" s="216"/>
      <c r="D38" s="216"/>
      <c r="E38" s="216"/>
      <c r="F38" s="219"/>
      <c r="G38" s="4"/>
      <c r="H38" s="116"/>
      <c r="I38" s="29"/>
      <c r="J38" s="29"/>
      <c r="K38" s="29"/>
      <c r="L38" s="29"/>
      <c r="M38" s="216"/>
      <c r="N38" s="216"/>
      <c r="O38" s="216"/>
      <c r="P38" s="216"/>
      <c r="Q38" s="216"/>
      <c r="R38" s="29"/>
      <c r="S38" s="29"/>
    </row>
    <row r="39" spans="1:19" ht="69" customHeight="1" x14ac:dyDescent="0.3">
      <c r="A39" s="4"/>
      <c r="B39" s="218" t="s">
        <v>33</v>
      </c>
      <c r="C39" s="216"/>
      <c r="D39" s="216"/>
      <c r="E39" s="216"/>
      <c r="F39" s="219"/>
      <c r="G39" s="4"/>
      <c r="H39" s="116"/>
      <c r="I39" s="29"/>
      <c r="J39" s="29"/>
      <c r="K39" s="29"/>
      <c r="L39" s="29"/>
      <c r="M39" s="29"/>
      <c r="N39" s="29"/>
      <c r="O39" s="29"/>
      <c r="P39" s="29"/>
      <c r="Q39" s="29"/>
      <c r="R39" s="29"/>
      <c r="S39" s="29"/>
    </row>
    <row r="40" spans="1:19" ht="21" x14ac:dyDescent="0.3">
      <c r="A40" s="4"/>
      <c r="B40" s="218" t="s">
        <v>32</v>
      </c>
      <c r="C40" s="216"/>
      <c r="D40" s="216"/>
      <c r="E40" s="216"/>
      <c r="F40" s="219"/>
      <c r="G40" s="4"/>
      <c r="H40" s="116"/>
      <c r="I40" s="29"/>
      <c r="J40" s="29"/>
      <c r="K40" s="29"/>
      <c r="L40" s="29"/>
      <c r="M40" s="29"/>
      <c r="N40" s="29"/>
      <c r="O40" s="29"/>
      <c r="P40" s="29"/>
      <c r="Q40" s="29"/>
      <c r="R40" s="29"/>
      <c r="S40" s="29"/>
    </row>
    <row r="41" spans="1:19" ht="116.25" customHeight="1" x14ac:dyDescent="0.3">
      <c r="A41" s="4"/>
      <c r="B41" s="218" t="s">
        <v>196</v>
      </c>
      <c r="C41" s="216"/>
      <c r="D41" s="216"/>
      <c r="E41" s="216"/>
      <c r="F41" s="219"/>
      <c r="G41" s="4"/>
      <c r="H41" s="116"/>
      <c r="I41" s="29"/>
      <c r="J41" s="29"/>
      <c r="K41" s="29"/>
      <c r="L41" s="29"/>
      <c r="M41" s="29"/>
      <c r="N41" s="29"/>
      <c r="O41" s="29"/>
      <c r="P41" s="29"/>
      <c r="Q41" s="29"/>
      <c r="R41" s="29"/>
      <c r="S41" s="29"/>
    </row>
    <row r="42" spans="1:19" ht="48.75" customHeight="1" x14ac:dyDescent="0.3">
      <c r="A42" s="4"/>
      <c r="B42" s="218" t="s">
        <v>197</v>
      </c>
      <c r="C42" s="216"/>
      <c r="D42" s="216"/>
      <c r="E42" s="216"/>
      <c r="F42" s="219"/>
      <c r="G42" s="4"/>
      <c r="H42" s="116"/>
      <c r="I42" s="29"/>
      <c r="J42" s="29"/>
      <c r="K42" s="29"/>
      <c r="L42" s="29"/>
      <c r="M42" s="29"/>
      <c r="N42" s="29"/>
      <c r="O42" s="29"/>
      <c r="P42" s="29"/>
      <c r="Q42" s="29"/>
      <c r="R42" s="29"/>
      <c r="S42" s="29"/>
    </row>
    <row r="43" spans="1:19" ht="89.25" customHeight="1" x14ac:dyDescent="0.3">
      <c r="A43" s="4"/>
      <c r="B43" s="218" t="s">
        <v>198</v>
      </c>
      <c r="C43" s="216"/>
      <c r="D43" s="216"/>
      <c r="E43" s="216"/>
      <c r="F43" s="219"/>
      <c r="G43" s="4"/>
      <c r="H43" s="116"/>
      <c r="I43" s="29"/>
      <c r="J43" s="29"/>
      <c r="K43" s="29"/>
      <c r="L43" s="29"/>
      <c r="M43" s="29"/>
      <c r="N43" s="29"/>
      <c r="O43" s="29"/>
      <c r="P43" s="29"/>
      <c r="Q43" s="29"/>
      <c r="R43" s="29"/>
      <c r="S43" s="29"/>
    </row>
    <row r="44" spans="1:19" ht="21" x14ac:dyDescent="0.3">
      <c r="A44" s="4"/>
      <c r="B44" s="218" t="s">
        <v>166</v>
      </c>
      <c r="C44" s="216"/>
      <c r="D44" s="216"/>
      <c r="E44" s="216"/>
      <c r="F44" s="219"/>
      <c r="G44" s="4"/>
      <c r="H44" s="116"/>
      <c r="I44" s="29"/>
      <c r="J44" s="29"/>
      <c r="K44" s="29"/>
      <c r="L44" s="29"/>
      <c r="M44" s="29"/>
      <c r="N44" s="29"/>
      <c r="O44" s="29"/>
      <c r="P44" s="29"/>
      <c r="Q44" s="29"/>
      <c r="R44" s="29"/>
      <c r="S44" s="29"/>
    </row>
    <row r="45" spans="1:19" ht="51" customHeight="1" thickBot="1" x14ac:dyDescent="0.3">
      <c r="A45" s="29"/>
      <c r="B45" s="220" t="s">
        <v>194</v>
      </c>
      <c r="C45" s="221"/>
      <c r="D45" s="221"/>
      <c r="E45" s="221"/>
      <c r="F45" s="222"/>
      <c r="G45" s="29"/>
      <c r="H45" s="116"/>
      <c r="I45" s="29"/>
      <c r="J45" s="29"/>
      <c r="K45" s="29"/>
      <c r="L45" s="29"/>
      <c r="M45" s="29"/>
      <c r="N45" s="29"/>
      <c r="O45" s="29"/>
      <c r="P45" s="29"/>
      <c r="Q45" s="29"/>
      <c r="R45" s="29"/>
      <c r="S45" s="29"/>
    </row>
    <row r="46" spans="1:19" ht="16.5" thickTop="1" x14ac:dyDescent="0.25"/>
  </sheetData>
  <mergeCells count="47">
    <mergeCell ref="B34:F34"/>
    <mergeCell ref="B33:F33"/>
    <mergeCell ref="B32:F32"/>
    <mergeCell ref="B31:F31"/>
    <mergeCell ref="B39:F39"/>
    <mergeCell ref="B38:F38"/>
    <mergeCell ref="B36:F36"/>
    <mergeCell ref="B37:F37"/>
    <mergeCell ref="I4:Q6"/>
    <mergeCell ref="I2:Q2"/>
    <mergeCell ref="M32:N32"/>
    <mergeCell ref="C12:D12"/>
    <mergeCell ref="C17:D17"/>
    <mergeCell ref="B30:F30"/>
    <mergeCell ref="B2:F2"/>
    <mergeCell ref="C23:D23"/>
    <mergeCell ref="B4:C6"/>
    <mergeCell ref="D4:F6"/>
    <mergeCell ref="B8:D8"/>
    <mergeCell ref="C10:D10"/>
    <mergeCell ref="C14:D14"/>
    <mergeCell ref="C16:D16"/>
    <mergeCell ref="C11:D11"/>
    <mergeCell ref="C13:D13"/>
    <mergeCell ref="B45:F45"/>
    <mergeCell ref="B28:D28"/>
    <mergeCell ref="B26:D26"/>
    <mergeCell ref="B24:D24"/>
    <mergeCell ref="S7:S9"/>
    <mergeCell ref="I30:K30"/>
    <mergeCell ref="C18:D18"/>
    <mergeCell ref="C21:D21"/>
    <mergeCell ref="C19:D19"/>
    <mergeCell ref="C20:D20"/>
    <mergeCell ref="C22:D22"/>
    <mergeCell ref="I35:J35"/>
    <mergeCell ref="I34:J34"/>
    <mergeCell ref="I32:J32"/>
    <mergeCell ref="C15:D15"/>
    <mergeCell ref="B35:F35"/>
    <mergeCell ref="M38:Q38"/>
    <mergeCell ref="I36:J36"/>
    <mergeCell ref="B42:F42"/>
    <mergeCell ref="B43:F43"/>
    <mergeCell ref="B44:F44"/>
    <mergeCell ref="B41:F41"/>
    <mergeCell ref="B40:F40"/>
  </mergeCells>
  <printOptions horizontalCentered="1"/>
  <pageMargins left="0.39370078740157483" right="0.39370078740157483" top="0.74803149606299213" bottom="0.74803149606299213" header="0.31496062992125984" footer="0.31496062992125984"/>
  <pageSetup paperSize="9" scale="71" fitToHeight="0" orientation="portrait" r:id="rId1"/>
  <rowBreaks count="1" manualBreakCount="1">
    <brk id="29"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9"/>
  <sheetViews>
    <sheetView view="pageBreakPreview" topLeftCell="B1" zoomScale="70" zoomScaleNormal="60" zoomScaleSheetLayoutView="70" workbookViewId="0">
      <selection activeCell="C8" sqref="C8"/>
    </sheetView>
  </sheetViews>
  <sheetFormatPr baseColWidth="10" defaultColWidth="11.42578125" defaultRowHeight="16.5" x14ac:dyDescent="0.3"/>
  <cols>
    <col min="1" max="1" width="7.140625" style="5" customWidth="1"/>
    <col min="2" max="2" width="11.42578125" style="5"/>
    <col min="3" max="3" width="71.7109375" style="5" customWidth="1"/>
    <col min="4" max="4" width="15.42578125" style="5" bestFit="1" customWidth="1"/>
    <col min="5" max="5" width="3.5703125" style="5" customWidth="1"/>
    <col min="6" max="6" width="23.2851562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29.5703125"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1</v>
      </c>
      <c r="C2" s="296" t="s">
        <v>21</v>
      </c>
      <c r="D2" s="296"/>
      <c r="E2" s="296"/>
      <c r="F2" s="296"/>
      <c r="G2" s="107"/>
      <c r="H2" s="277"/>
      <c r="I2" s="107"/>
      <c r="J2" s="269" t="s">
        <v>76</v>
      </c>
      <c r="K2" s="270"/>
      <c r="L2" s="270"/>
      <c r="M2" s="270"/>
      <c r="N2" s="274" t="s">
        <v>60</v>
      </c>
      <c r="O2" s="280">
        <f>B.I._10</f>
        <v>1.1000000000000001</v>
      </c>
      <c r="P2" s="281"/>
      <c r="Q2" s="281"/>
      <c r="R2" s="282"/>
      <c r="S2" s="4"/>
    </row>
    <row r="3" spans="1:19" ht="15" customHeight="1" x14ac:dyDescent="0.35">
      <c r="A3" s="4"/>
      <c r="B3" s="294"/>
      <c r="C3" s="297"/>
      <c r="D3" s="297"/>
      <c r="E3" s="297"/>
      <c r="F3" s="297"/>
      <c r="G3" s="107"/>
      <c r="H3" s="278"/>
      <c r="I3" s="107"/>
      <c r="J3" s="271"/>
      <c r="K3" s="212"/>
      <c r="L3" s="212"/>
      <c r="M3" s="212"/>
      <c r="N3" s="275"/>
      <c r="O3" s="283"/>
      <c r="P3" s="284"/>
      <c r="Q3" s="284"/>
      <c r="R3" s="285"/>
      <c r="S3" s="4"/>
    </row>
    <row r="4" spans="1:19" ht="15" customHeight="1" thickBot="1" x14ac:dyDescent="0.4">
      <c r="A4" s="4"/>
      <c r="B4" s="295"/>
      <c r="C4" s="298"/>
      <c r="D4" s="298"/>
      <c r="E4" s="298"/>
      <c r="F4" s="298"/>
      <c r="G4" s="107"/>
      <c r="H4" s="279"/>
      <c r="I4" s="107"/>
      <c r="J4" s="272"/>
      <c r="K4" s="273"/>
      <c r="L4" s="273"/>
      <c r="M4" s="273"/>
      <c r="N4" s="276"/>
      <c r="O4" s="286"/>
      <c r="P4" s="287"/>
      <c r="Q4" s="287"/>
      <c r="R4" s="288"/>
      <c r="S4" s="4"/>
    </row>
    <row r="5" spans="1:19" ht="9.9499999999999993" customHeight="1" thickTop="1" thickBot="1" x14ac:dyDescent="0.4">
      <c r="A5" s="4"/>
      <c r="B5" s="107"/>
      <c r="C5" s="132"/>
      <c r="D5" s="132"/>
      <c r="E5" s="107"/>
      <c r="F5" s="107"/>
      <c r="G5" s="107"/>
      <c r="H5" s="107"/>
      <c r="I5" s="107"/>
      <c r="J5" s="107"/>
      <c r="K5" s="107"/>
      <c r="L5" s="107"/>
      <c r="M5" s="107"/>
      <c r="N5" s="107"/>
      <c r="O5" s="107"/>
      <c r="P5" s="107"/>
      <c r="Q5" s="107"/>
      <c r="R5" s="133"/>
      <c r="S5" s="4"/>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20.100000000000001" customHeight="1" x14ac:dyDescent="0.35">
      <c r="A8" s="15"/>
      <c r="B8" s="112">
        <v>1</v>
      </c>
      <c r="C8" s="148" t="s">
        <v>130</v>
      </c>
      <c r="D8" s="110" t="s">
        <v>84</v>
      </c>
      <c r="E8" s="107"/>
      <c r="F8" s="108">
        <v>1</v>
      </c>
      <c r="G8" s="107"/>
      <c r="H8" s="122">
        <f>P8*$O$2</f>
        <v>330</v>
      </c>
      <c r="I8" s="107"/>
      <c r="J8" s="149">
        <v>300</v>
      </c>
      <c r="K8" s="124">
        <f t="shared" ref="K8:K17" si="0">$J8*$F8</f>
        <v>300</v>
      </c>
      <c r="L8" s="125"/>
      <c r="M8" s="149"/>
      <c r="N8" s="124">
        <f t="shared" ref="N8:N17" si="1">$M8*$F8</f>
        <v>0</v>
      </c>
      <c r="O8" s="125"/>
      <c r="P8" s="126">
        <f>N8+K8</f>
        <v>300</v>
      </c>
      <c r="Q8" s="125"/>
      <c r="R8" s="126">
        <f>H8-P8</f>
        <v>30</v>
      </c>
      <c r="S8" s="15"/>
    </row>
    <row r="9" spans="1:19" s="16" customFormat="1" ht="19.5" customHeight="1" x14ac:dyDescent="0.35">
      <c r="A9" s="15"/>
      <c r="B9" s="112">
        <v>2</v>
      </c>
      <c r="C9" s="150" t="s">
        <v>131</v>
      </c>
      <c r="D9" s="130" t="s">
        <v>84</v>
      </c>
      <c r="E9" s="107"/>
      <c r="F9" s="108">
        <v>1</v>
      </c>
      <c r="G9" s="107"/>
      <c r="H9" s="122">
        <f>P9*$O$2</f>
        <v>110.00000000000001</v>
      </c>
      <c r="I9" s="107"/>
      <c r="J9" s="123">
        <v>100</v>
      </c>
      <c r="K9" s="124">
        <f t="shared" si="0"/>
        <v>100</v>
      </c>
      <c r="L9" s="125"/>
      <c r="M9" s="123"/>
      <c r="N9" s="124">
        <f t="shared" si="1"/>
        <v>0</v>
      </c>
      <c r="O9" s="125"/>
      <c r="P9" s="126">
        <f t="shared" ref="P9:P17" si="2">N9+K9</f>
        <v>100</v>
      </c>
      <c r="Q9" s="125"/>
      <c r="R9" s="126">
        <f t="shared" ref="R9:R17" si="3">H9-P9</f>
        <v>10.000000000000014</v>
      </c>
      <c r="S9" s="15"/>
    </row>
    <row r="10" spans="1:19" s="16" customFormat="1" ht="20.100000000000001" customHeight="1" x14ac:dyDescent="0.35">
      <c r="A10" s="15"/>
      <c r="B10" s="112">
        <v>3</v>
      </c>
      <c r="C10" s="150" t="s">
        <v>132</v>
      </c>
      <c r="D10" s="110" t="s">
        <v>84</v>
      </c>
      <c r="E10" s="107"/>
      <c r="F10" s="108">
        <v>1</v>
      </c>
      <c r="G10" s="107"/>
      <c r="H10" s="122">
        <f t="shared" ref="H10:H17" si="4">P10*$O$2</f>
        <v>165</v>
      </c>
      <c r="I10" s="107"/>
      <c r="J10" s="123">
        <v>150</v>
      </c>
      <c r="K10" s="124">
        <f t="shared" si="0"/>
        <v>150</v>
      </c>
      <c r="L10" s="125"/>
      <c r="M10" s="123"/>
      <c r="N10" s="124">
        <f t="shared" si="1"/>
        <v>0</v>
      </c>
      <c r="O10" s="125"/>
      <c r="P10" s="126">
        <f t="shared" si="2"/>
        <v>150</v>
      </c>
      <c r="Q10" s="125"/>
      <c r="R10" s="126">
        <f t="shared" si="3"/>
        <v>15</v>
      </c>
      <c r="S10" s="15"/>
    </row>
    <row r="11" spans="1:19" s="16" customFormat="1" ht="20.100000000000001" customHeight="1" x14ac:dyDescent="0.35">
      <c r="A11" s="15"/>
      <c r="B11" s="112">
        <v>4</v>
      </c>
      <c r="C11" s="150"/>
      <c r="D11" s="110"/>
      <c r="E11" s="107"/>
      <c r="F11" s="108"/>
      <c r="G11" s="107"/>
      <c r="H11" s="122">
        <f t="shared" si="4"/>
        <v>0</v>
      </c>
      <c r="I11" s="107"/>
      <c r="J11" s="123"/>
      <c r="K11" s="124">
        <f t="shared" si="0"/>
        <v>0</v>
      </c>
      <c r="L11" s="125"/>
      <c r="M11" s="123"/>
      <c r="N11" s="124">
        <f t="shared" si="1"/>
        <v>0</v>
      </c>
      <c r="O11" s="125"/>
      <c r="P11" s="126">
        <f t="shared" si="2"/>
        <v>0</v>
      </c>
      <c r="Q11" s="125"/>
      <c r="R11" s="126">
        <f t="shared" si="3"/>
        <v>0</v>
      </c>
      <c r="S11" s="15"/>
    </row>
    <row r="12" spans="1:19" s="16" customFormat="1" ht="20.100000000000001" customHeight="1" x14ac:dyDescent="0.35">
      <c r="A12" s="15"/>
      <c r="B12" s="112">
        <v>5</v>
      </c>
      <c r="C12" s="150"/>
      <c r="D12" s="110"/>
      <c r="E12" s="107"/>
      <c r="F12" s="108"/>
      <c r="G12" s="107"/>
      <c r="H12" s="122">
        <f t="shared" si="4"/>
        <v>0</v>
      </c>
      <c r="I12" s="107"/>
      <c r="J12" s="123"/>
      <c r="K12" s="124">
        <f t="shared" si="0"/>
        <v>0</v>
      </c>
      <c r="L12" s="125"/>
      <c r="M12" s="123"/>
      <c r="N12" s="124">
        <f t="shared" si="1"/>
        <v>0</v>
      </c>
      <c r="O12" s="125"/>
      <c r="P12" s="126">
        <f t="shared" si="2"/>
        <v>0</v>
      </c>
      <c r="Q12" s="125"/>
      <c r="R12" s="126">
        <f t="shared" si="3"/>
        <v>0</v>
      </c>
      <c r="S12" s="15"/>
    </row>
    <row r="13" spans="1:19" s="16" customFormat="1" ht="20.100000000000001" customHeight="1" x14ac:dyDescent="0.35">
      <c r="A13" s="15"/>
      <c r="B13" s="112">
        <v>6</v>
      </c>
      <c r="C13" s="150"/>
      <c r="D13" s="110"/>
      <c r="E13" s="107"/>
      <c r="F13" s="108"/>
      <c r="G13" s="107"/>
      <c r="H13" s="122">
        <f t="shared" si="4"/>
        <v>0</v>
      </c>
      <c r="I13" s="107"/>
      <c r="J13" s="123"/>
      <c r="K13" s="124">
        <f t="shared" si="0"/>
        <v>0</v>
      </c>
      <c r="L13" s="125"/>
      <c r="M13" s="123"/>
      <c r="N13" s="124">
        <f t="shared" si="1"/>
        <v>0</v>
      </c>
      <c r="O13" s="125"/>
      <c r="P13" s="126">
        <f t="shared" si="2"/>
        <v>0</v>
      </c>
      <c r="Q13" s="125"/>
      <c r="R13" s="126">
        <f t="shared" si="3"/>
        <v>0</v>
      </c>
      <c r="S13" s="15"/>
    </row>
    <row r="14" spans="1:19" s="16" customFormat="1" ht="20.100000000000001" customHeight="1" x14ac:dyDescent="0.35">
      <c r="A14" s="15"/>
      <c r="B14" s="112">
        <v>7</v>
      </c>
      <c r="C14" s="150"/>
      <c r="D14" s="110"/>
      <c r="E14" s="107"/>
      <c r="F14" s="108"/>
      <c r="G14" s="107"/>
      <c r="H14" s="122">
        <f t="shared" si="4"/>
        <v>0</v>
      </c>
      <c r="I14" s="107"/>
      <c r="J14" s="123"/>
      <c r="K14" s="124">
        <f t="shared" si="0"/>
        <v>0</v>
      </c>
      <c r="L14" s="125"/>
      <c r="M14" s="123"/>
      <c r="N14" s="124">
        <f t="shared" si="1"/>
        <v>0</v>
      </c>
      <c r="O14" s="125"/>
      <c r="P14" s="126">
        <f t="shared" si="2"/>
        <v>0</v>
      </c>
      <c r="Q14" s="125"/>
      <c r="R14" s="126">
        <f t="shared" si="3"/>
        <v>0</v>
      </c>
      <c r="S14" s="15"/>
    </row>
    <row r="15" spans="1:19" s="16" customFormat="1" ht="20.100000000000001" customHeight="1" x14ac:dyDescent="0.35">
      <c r="A15" s="15"/>
      <c r="B15" s="112">
        <v>8</v>
      </c>
      <c r="C15" s="150"/>
      <c r="D15" s="110"/>
      <c r="E15" s="107"/>
      <c r="F15" s="108"/>
      <c r="G15" s="107"/>
      <c r="H15" s="122">
        <f t="shared" si="4"/>
        <v>0</v>
      </c>
      <c r="I15" s="107"/>
      <c r="J15" s="123"/>
      <c r="K15" s="124">
        <f t="shared" si="0"/>
        <v>0</v>
      </c>
      <c r="L15" s="125"/>
      <c r="M15" s="123"/>
      <c r="N15" s="124">
        <f t="shared" si="1"/>
        <v>0</v>
      </c>
      <c r="O15" s="125"/>
      <c r="P15" s="126">
        <f t="shared" si="2"/>
        <v>0</v>
      </c>
      <c r="Q15" s="125"/>
      <c r="R15" s="126">
        <f t="shared" si="3"/>
        <v>0</v>
      </c>
      <c r="S15" s="15"/>
    </row>
    <row r="16" spans="1:19" s="16" customFormat="1" ht="20.100000000000001" customHeight="1" x14ac:dyDescent="0.35">
      <c r="A16" s="15"/>
      <c r="B16" s="112">
        <v>9</v>
      </c>
      <c r="C16" s="150"/>
      <c r="D16" s="110"/>
      <c r="E16" s="107"/>
      <c r="F16" s="108"/>
      <c r="G16" s="107"/>
      <c r="H16" s="122">
        <f t="shared" si="4"/>
        <v>0</v>
      </c>
      <c r="I16" s="107"/>
      <c r="J16" s="123"/>
      <c r="K16" s="124">
        <f t="shared" si="0"/>
        <v>0</v>
      </c>
      <c r="L16" s="125"/>
      <c r="M16" s="123"/>
      <c r="N16" s="124">
        <f t="shared" si="1"/>
        <v>0</v>
      </c>
      <c r="O16" s="125"/>
      <c r="P16" s="126">
        <f t="shared" si="2"/>
        <v>0</v>
      </c>
      <c r="Q16" s="125"/>
      <c r="R16" s="126">
        <f t="shared" si="3"/>
        <v>0</v>
      </c>
      <c r="S16" s="15"/>
    </row>
    <row r="17" spans="1:19" s="16" customFormat="1" ht="20.100000000000001" customHeight="1" x14ac:dyDescent="0.35">
      <c r="A17" s="15"/>
      <c r="B17" s="112">
        <v>10</v>
      </c>
      <c r="C17" s="150"/>
      <c r="D17" s="110"/>
      <c r="E17" s="107"/>
      <c r="F17" s="108"/>
      <c r="G17" s="107"/>
      <c r="H17" s="122">
        <f t="shared" si="4"/>
        <v>0</v>
      </c>
      <c r="I17" s="107"/>
      <c r="J17" s="123"/>
      <c r="K17" s="124">
        <f t="shared" si="0"/>
        <v>0</v>
      </c>
      <c r="L17" s="125"/>
      <c r="M17" s="123"/>
      <c r="N17" s="124">
        <f t="shared" si="1"/>
        <v>0</v>
      </c>
      <c r="O17" s="125"/>
      <c r="P17" s="126">
        <f t="shared" si="2"/>
        <v>0</v>
      </c>
      <c r="Q17" s="125"/>
      <c r="R17" s="126">
        <f t="shared" si="3"/>
        <v>0</v>
      </c>
      <c r="S17" s="15"/>
    </row>
    <row r="18" spans="1:19" s="16" customFormat="1" ht="9.9499999999999993" customHeight="1" thickBot="1" x14ac:dyDescent="0.4">
      <c r="A18" s="15"/>
      <c r="B18" s="107"/>
      <c r="C18" s="251"/>
      <c r="D18" s="251"/>
      <c r="E18" s="107"/>
      <c r="F18" s="107"/>
      <c r="G18" s="107"/>
      <c r="H18" s="137"/>
      <c r="I18" s="107"/>
      <c r="J18" s="151"/>
      <c r="K18" s="151"/>
      <c r="L18" s="139"/>
      <c r="M18" s="151"/>
      <c r="N18" s="151"/>
      <c r="O18" s="139"/>
      <c r="P18" s="141"/>
      <c r="Q18" s="139"/>
      <c r="R18" s="141"/>
      <c r="S18" s="15"/>
    </row>
    <row r="19" spans="1:19" s="16" customFormat="1" ht="22.5" thickTop="1" thickBot="1" x14ac:dyDescent="0.4">
      <c r="A19" s="15"/>
      <c r="B19" s="226" t="s">
        <v>17</v>
      </c>
      <c r="C19" s="227"/>
      <c r="D19" s="228"/>
      <c r="E19" s="133"/>
      <c r="F19" s="142">
        <f>Obra_Derribos*$O$2</f>
        <v>605</v>
      </c>
      <c r="G19" s="107"/>
      <c r="H19" s="184">
        <f>SUM(H8:H17)</f>
        <v>605</v>
      </c>
      <c r="I19" s="107"/>
      <c r="J19" s="143" t="s">
        <v>79</v>
      </c>
      <c r="K19" s="144">
        <f>SUM(K8:K17)</f>
        <v>550</v>
      </c>
      <c r="L19" s="145"/>
      <c r="M19" s="143" t="s">
        <v>80</v>
      </c>
      <c r="N19" s="144">
        <f>SUM(N8:N17)</f>
        <v>0</v>
      </c>
      <c r="O19" s="146"/>
      <c r="P19" s="147">
        <f>SUM(P8:P17)</f>
        <v>550</v>
      </c>
      <c r="Q19" s="146"/>
      <c r="R19" s="147">
        <f>SUM(R8:R17)</f>
        <v>55.000000000000014</v>
      </c>
      <c r="S19" s="15"/>
    </row>
    <row r="20" spans="1:19" ht="9.9499999999999993" customHeight="1" thickTop="1" thickBot="1" x14ac:dyDescent="0.4">
      <c r="A20" s="4"/>
      <c r="B20" s="107"/>
      <c r="C20" s="107"/>
      <c r="D20" s="107"/>
      <c r="E20" s="107"/>
      <c r="F20" s="107"/>
      <c r="G20" s="107"/>
      <c r="H20" s="107"/>
      <c r="I20" s="107"/>
      <c r="J20" s="107"/>
      <c r="K20" s="107"/>
      <c r="L20" s="107"/>
      <c r="M20" s="107"/>
      <c r="N20" s="107"/>
      <c r="O20" s="107"/>
      <c r="P20" s="107"/>
      <c r="Q20" s="107"/>
      <c r="R20" s="133"/>
      <c r="S20" s="4"/>
    </row>
    <row r="21" spans="1:19" ht="15" customHeight="1" thickTop="1" x14ac:dyDescent="0.35">
      <c r="A21" s="4"/>
      <c r="B21" s="293" t="s">
        <v>3</v>
      </c>
      <c r="C21" s="296" t="s">
        <v>167</v>
      </c>
      <c r="D21" s="296"/>
      <c r="E21" s="296"/>
      <c r="F21" s="296"/>
      <c r="G21" s="107"/>
      <c r="H21" s="277"/>
      <c r="I21" s="107"/>
      <c r="J21" s="269" t="s">
        <v>76</v>
      </c>
      <c r="K21" s="270"/>
      <c r="L21" s="270"/>
      <c r="M21" s="270"/>
      <c r="N21" s="274" t="s">
        <v>60</v>
      </c>
      <c r="O21" s="280">
        <f>B.I._10</f>
        <v>1.1000000000000001</v>
      </c>
      <c r="P21" s="281"/>
      <c r="Q21" s="281"/>
      <c r="R21" s="282"/>
      <c r="S21" s="4"/>
    </row>
    <row r="22" spans="1:19" ht="15" customHeight="1" x14ac:dyDescent="0.35">
      <c r="A22" s="4"/>
      <c r="B22" s="294"/>
      <c r="C22" s="297"/>
      <c r="D22" s="297"/>
      <c r="E22" s="297"/>
      <c r="F22" s="297"/>
      <c r="G22" s="107"/>
      <c r="H22" s="278"/>
      <c r="I22" s="107"/>
      <c r="J22" s="271"/>
      <c r="K22" s="212"/>
      <c r="L22" s="212"/>
      <c r="M22" s="212"/>
      <c r="N22" s="275"/>
      <c r="O22" s="283"/>
      <c r="P22" s="284"/>
      <c r="Q22" s="284"/>
      <c r="R22" s="285"/>
      <c r="S22" s="4"/>
    </row>
    <row r="23" spans="1:19" ht="15" customHeight="1" thickBot="1" x14ac:dyDescent="0.4">
      <c r="A23" s="4"/>
      <c r="B23" s="295"/>
      <c r="C23" s="298"/>
      <c r="D23" s="298"/>
      <c r="E23" s="298"/>
      <c r="F23" s="298"/>
      <c r="G23" s="107"/>
      <c r="H23" s="279"/>
      <c r="I23" s="107"/>
      <c r="J23" s="272"/>
      <c r="K23" s="273"/>
      <c r="L23" s="273"/>
      <c r="M23" s="273"/>
      <c r="N23" s="276"/>
      <c r="O23" s="286"/>
      <c r="P23" s="287"/>
      <c r="Q23" s="287"/>
      <c r="R23" s="288"/>
      <c r="S23" s="4"/>
    </row>
    <row r="24" spans="1:19" ht="9.9499999999999993" customHeight="1" thickTop="1" thickBot="1" x14ac:dyDescent="0.4">
      <c r="A24" s="4"/>
      <c r="B24" s="107"/>
      <c r="C24" s="132"/>
      <c r="D24" s="132"/>
      <c r="E24" s="107"/>
      <c r="F24" s="107"/>
      <c r="G24" s="107"/>
      <c r="H24" s="107"/>
      <c r="I24" s="107"/>
      <c r="J24" s="107"/>
      <c r="K24" s="107"/>
      <c r="L24" s="107"/>
      <c r="M24" s="107"/>
      <c r="N24" s="107"/>
      <c r="O24" s="107"/>
      <c r="P24" s="107"/>
      <c r="Q24" s="107"/>
      <c r="R24" s="133"/>
      <c r="S24" s="4"/>
    </row>
    <row r="25" spans="1:19" ht="22.5" thickTop="1" thickBot="1" x14ac:dyDescent="0.4">
      <c r="A25" s="4"/>
      <c r="B25" s="289" t="s">
        <v>15</v>
      </c>
      <c r="C25" s="290"/>
      <c r="D25" s="181" t="s">
        <v>14</v>
      </c>
      <c r="E25" s="182"/>
      <c r="F25" s="183" t="s">
        <v>16</v>
      </c>
      <c r="G25" s="182"/>
      <c r="H25" s="183" t="s">
        <v>142</v>
      </c>
      <c r="I25" s="134"/>
      <c r="J25" s="291" t="s">
        <v>77</v>
      </c>
      <c r="K25" s="292"/>
      <c r="L25" s="135"/>
      <c r="M25" s="291" t="s">
        <v>78</v>
      </c>
      <c r="N25" s="292"/>
      <c r="O25" s="135"/>
      <c r="P25" s="183" t="s">
        <v>2</v>
      </c>
      <c r="Q25" s="135"/>
      <c r="R25" s="183" t="s">
        <v>60</v>
      </c>
      <c r="S25" s="4"/>
    </row>
    <row r="26" spans="1:19" ht="9.9499999999999993" customHeight="1" thickTop="1" x14ac:dyDescent="0.35">
      <c r="A26" s="4"/>
      <c r="B26" s="107"/>
      <c r="C26" s="136"/>
      <c r="D26" s="136"/>
      <c r="E26" s="107"/>
      <c r="F26" s="133"/>
      <c r="G26" s="107"/>
      <c r="H26" s="133"/>
      <c r="I26" s="107"/>
      <c r="J26" s="107"/>
      <c r="K26" s="107"/>
      <c r="L26" s="136"/>
      <c r="M26" s="107"/>
      <c r="N26" s="107"/>
      <c r="O26" s="136"/>
      <c r="P26" s="107"/>
      <c r="Q26" s="107"/>
      <c r="R26" s="107"/>
      <c r="S26" s="4"/>
    </row>
    <row r="27" spans="1:19" ht="63" x14ac:dyDescent="0.35">
      <c r="A27" s="4"/>
      <c r="B27" s="112">
        <v>1</v>
      </c>
      <c r="C27" s="152" t="s">
        <v>169</v>
      </c>
      <c r="D27" s="110" t="s">
        <v>86</v>
      </c>
      <c r="E27" s="107"/>
      <c r="F27" s="108">
        <v>90</v>
      </c>
      <c r="G27" s="107"/>
      <c r="H27" s="122">
        <f>P27*$O$21</f>
        <v>3465.0000000000005</v>
      </c>
      <c r="I27" s="107"/>
      <c r="J27" s="149">
        <v>35</v>
      </c>
      <c r="K27" s="124">
        <f t="shared" ref="K27:K36" si="5">$J27*$F27</f>
        <v>3150</v>
      </c>
      <c r="L27" s="125"/>
      <c r="M27" s="149"/>
      <c r="N27" s="124">
        <f t="shared" ref="N27:N36" si="6">$M27*$F27</f>
        <v>0</v>
      </c>
      <c r="O27" s="125"/>
      <c r="P27" s="126">
        <f>N27+K27</f>
        <v>3150</v>
      </c>
      <c r="Q27" s="107"/>
      <c r="R27" s="126">
        <f>H27-P27</f>
        <v>315.00000000000045</v>
      </c>
      <c r="S27" s="4"/>
    </row>
    <row r="28" spans="1:19" ht="42" x14ac:dyDescent="0.35">
      <c r="A28" s="4"/>
      <c r="B28" s="112">
        <v>2</v>
      </c>
      <c r="C28" s="152" t="s">
        <v>124</v>
      </c>
      <c r="D28" s="110" t="s">
        <v>86</v>
      </c>
      <c r="E28" s="107"/>
      <c r="F28" s="108">
        <v>8</v>
      </c>
      <c r="G28" s="107"/>
      <c r="H28" s="122">
        <f t="shared" ref="H28:H36" si="7">P28*$O$21</f>
        <v>308</v>
      </c>
      <c r="I28" s="107"/>
      <c r="J28" s="149">
        <v>35</v>
      </c>
      <c r="K28" s="124">
        <f t="shared" si="5"/>
        <v>280</v>
      </c>
      <c r="L28" s="125"/>
      <c r="M28" s="123"/>
      <c r="N28" s="124">
        <f t="shared" si="6"/>
        <v>0</v>
      </c>
      <c r="O28" s="125"/>
      <c r="P28" s="126">
        <f t="shared" ref="P28:P36" si="8">N28+K28</f>
        <v>280</v>
      </c>
      <c r="Q28" s="107"/>
      <c r="R28" s="126">
        <f t="shared" ref="R28:R36" si="9">H28-P28</f>
        <v>28</v>
      </c>
      <c r="S28" s="4"/>
    </row>
    <row r="29" spans="1:19" ht="21" x14ac:dyDescent="0.35">
      <c r="A29" s="4"/>
      <c r="B29" s="112">
        <v>3</v>
      </c>
      <c r="C29" s="153"/>
      <c r="D29" s="110"/>
      <c r="E29" s="107"/>
      <c r="F29" s="108"/>
      <c r="G29" s="107"/>
      <c r="H29" s="122">
        <f>P29*$O$21</f>
        <v>0</v>
      </c>
      <c r="I29" s="107"/>
      <c r="J29" s="123"/>
      <c r="K29" s="124">
        <f t="shared" si="5"/>
        <v>0</v>
      </c>
      <c r="L29" s="125"/>
      <c r="M29" s="123"/>
      <c r="N29" s="124">
        <f t="shared" si="6"/>
        <v>0</v>
      </c>
      <c r="O29" s="125"/>
      <c r="P29" s="126">
        <f t="shared" si="8"/>
        <v>0</v>
      </c>
      <c r="Q29" s="107"/>
      <c r="R29" s="126">
        <f t="shared" si="9"/>
        <v>0</v>
      </c>
      <c r="S29" s="4"/>
    </row>
    <row r="30" spans="1:19" ht="21" x14ac:dyDescent="0.35">
      <c r="A30" s="4"/>
      <c r="B30" s="112">
        <v>4</v>
      </c>
      <c r="C30" s="153"/>
      <c r="D30" s="110"/>
      <c r="E30" s="107"/>
      <c r="F30" s="108"/>
      <c r="G30" s="107"/>
      <c r="H30" s="122">
        <f t="shared" si="7"/>
        <v>0</v>
      </c>
      <c r="I30" s="107"/>
      <c r="J30" s="123"/>
      <c r="K30" s="124">
        <f t="shared" si="5"/>
        <v>0</v>
      </c>
      <c r="L30" s="125"/>
      <c r="M30" s="123"/>
      <c r="N30" s="124">
        <f t="shared" si="6"/>
        <v>0</v>
      </c>
      <c r="O30" s="125"/>
      <c r="P30" s="126">
        <f t="shared" si="8"/>
        <v>0</v>
      </c>
      <c r="Q30" s="107"/>
      <c r="R30" s="126">
        <f t="shared" si="9"/>
        <v>0</v>
      </c>
      <c r="S30" s="4"/>
    </row>
    <row r="31" spans="1:19" ht="21" x14ac:dyDescent="0.35">
      <c r="A31" s="4"/>
      <c r="B31" s="112">
        <v>5</v>
      </c>
      <c r="C31" s="153"/>
      <c r="D31" s="110"/>
      <c r="E31" s="107"/>
      <c r="F31" s="108"/>
      <c r="G31" s="107"/>
      <c r="H31" s="122">
        <f t="shared" si="7"/>
        <v>0</v>
      </c>
      <c r="I31" s="107"/>
      <c r="J31" s="123"/>
      <c r="K31" s="124">
        <f t="shared" si="5"/>
        <v>0</v>
      </c>
      <c r="L31" s="125"/>
      <c r="M31" s="123"/>
      <c r="N31" s="124">
        <f t="shared" si="6"/>
        <v>0</v>
      </c>
      <c r="O31" s="125"/>
      <c r="P31" s="126">
        <f t="shared" si="8"/>
        <v>0</v>
      </c>
      <c r="Q31" s="107"/>
      <c r="R31" s="126">
        <f t="shared" si="9"/>
        <v>0</v>
      </c>
      <c r="S31" s="4"/>
    </row>
    <row r="32" spans="1:19" ht="21" x14ac:dyDescent="0.35">
      <c r="A32" s="4"/>
      <c r="B32" s="112">
        <v>6</v>
      </c>
      <c r="C32" s="153"/>
      <c r="D32" s="110"/>
      <c r="E32" s="107"/>
      <c r="F32" s="108"/>
      <c r="G32" s="107"/>
      <c r="H32" s="122">
        <f t="shared" si="7"/>
        <v>0</v>
      </c>
      <c r="I32" s="107"/>
      <c r="J32" s="123"/>
      <c r="K32" s="124">
        <f t="shared" si="5"/>
        <v>0</v>
      </c>
      <c r="L32" s="125"/>
      <c r="M32" s="123"/>
      <c r="N32" s="124">
        <f t="shared" si="6"/>
        <v>0</v>
      </c>
      <c r="O32" s="125"/>
      <c r="P32" s="126">
        <f t="shared" si="8"/>
        <v>0</v>
      </c>
      <c r="Q32" s="107"/>
      <c r="R32" s="126">
        <f t="shared" si="9"/>
        <v>0</v>
      </c>
      <c r="S32" s="4"/>
    </row>
    <row r="33" spans="1:19" ht="21" x14ac:dyDescent="0.35">
      <c r="A33" s="4"/>
      <c r="B33" s="154">
        <v>7</v>
      </c>
      <c r="C33" s="155"/>
      <c r="D33" s="121"/>
      <c r="E33" s="107"/>
      <c r="F33" s="156"/>
      <c r="G33" s="107"/>
      <c r="H33" s="122">
        <f t="shared" si="7"/>
        <v>0</v>
      </c>
      <c r="I33" s="107"/>
      <c r="J33" s="123"/>
      <c r="K33" s="124">
        <f t="shared" si="5"/>
        <v>0</v>
      </c>
      <c r="L33" s="125"/>
      <c r="M33" s="123"/>
      <c r="N33" s="124">
        <f t="shared" si="6"/>
        <v>0</v>
      </c>
      <c r="O33" s="125"/>
      <c r="P33" s="126">
        <f t="shared" si="8"/>
        <v>0</v>
      </c>
      <c r="Q33" s="107"/>
      <c r="R33" s="126">
        <f t="shared" si="9"/>
        <v>0</v>
      </c>
      <c r="S33" s="4"/>
    </row>
    <row r="34" spans="1:19" ht="21" x14ac:dyDescent="0.35">
      <c r="A34" s="4"/>
      <c r="B34" s="154">
        <v>8</v>
      </c>
      <c r="C34" s="155"/>
      <c r="D34" s="121"/>
      <c r="E34" s="107"/>
      <c r="F34" s="156"/>
      <c r="G34" s="107"/>
      <c r="H34" s="122">
        <f t="shared" si="7"/>
        <v>0</v>
      </c>
      <c r="I34" s="107"/>
      <c r="J34" s="123"/>
      <c r="K34" s="124">
        <f t="shared" si="5"/>
        <v>0</v>
      </c>
      <c r="L34" s="125"/>
      <c r="M34" s="123"/>
      <c r="N34" s="124">
        <f t="shared" si="6"/>
        <v>0</v>
      </c>
      <c r="O34" s="125"/>
      <c r="P34" s="126">
        <f t="shared" si="8"/>
        <v>0</v>
      </c>
      <c r="Q34" s="107"/>
      <c r="R34" s="126">
        <f t="shared" si="9"/>
        <v>0</v>
      </c>
      <c r="S34" s="4"/>
    </row>
    <row r="35" spans="1:19" ht="21" x14ac:dyDescent="0.35">
      <c r="A35" s="4"/>
      <c r="B35" s="112">
        <v>9</v>
      </c>
      <c r="C35" s="153"/>
      <c r="D35" s="110"/>
      <c r="E35" s="107"/>
      <c r="F35" s="108"/>
      <c r="G35" s="107"/>
      <c r="H35" s="122">
        <f t="shared" si="7"/>
        <v>0</v>
      </c>
      <c r="I35" s="107"/>
      <c r="J35" s="123"/>
      <c r="K35" s="124">
        <f t="shared" si="5"/>
        <v>0</v>
      </c>
      <c r="L35" s="125"/>
      <c r="M35" s="123"/>
      <c r="N35" s="124">
        <f t="shared" si="6"/>
        <v>0</v>
      </c>
      <c r="O35" s="125"/>
      <c r="P35" s="126">
        <f t="shared" si="8"/>
        <v>0</v>
      </c>
      <c r="Q35" s="107"/>
      <c r="R35" s="126">
        <f t="shared" si="9"/>
        <v>0</v>
      </c>
      <c r="S35" s="4"/>
    </row>
    <row r="36" spans="1:19" ht="21" x14ac:dyDescent="0.35">
      <c r="A36" s="4"/>
      <c r="B36" s="112">
        <v>10</v>
      </c>
      <c r="C36" s="153"/>
      <c r="D36" s="110"/>
      <c r="E36" s="107"/>
      <c r="F36" s="108"/>
      <c r="G36" s="107"/>
      <c r="H36" s="122">
        <f t="shared" si="7"/>
        <v>0</v>
      </c>
      <c r="I36" s="107"/>
      <c r="J36" s="123"/>
      <c r="K36" s="124">
        <f t="shared" si="5"/>
        <v>0</v>
      </c>
      <c r="L36" s="125"/>
      <c r="M36" s="123"/>
      <c r="N36" s="124">
        <f t="shared" si="6"/>
        <v>0</v>
      </c>
      <c r="O36" s="125"/>
      <c r="P36" s="126">
        <f t="shared" si="8"/>
        <v>0</v>
      </c>
      <c r="Q36" s="107"/>
      <c r="R36" s="126">
        <f t="shared" si="9"/>
        <v>0</v>
      </c>
      <c r="S36" s="4"/>
    </row>
    <row r="37" spans="1:19" ht="9.9499999999999993" customHeight="1" thickBot="1" x14ac:dyDescent="0.4">
      <c r="A37" s="4"/>
      <c r="B37" s="107"/>
      <c r="C37" s="251"/>
      <c r="D37" s="251"/>
      <c r="E37" s="107"/>
      <c r="F37" s="107"/>
      <c r="G37" s="107"/>
      <c r="H37" s="137"/>
      <c r="I37" s="107"/>
      <c r="J37" s="151"/>
      <c r="K37" s="151"/>
      <c r="L37" s="139"/>
      <c r="M37" s="151"/>
      <c r="N37" s="151"/>
      <c r="O37" s="139"/>
      <c r="P37" s="141"/>
      <c r="Q37" s="107"/>
      <c r="R37" s="141"/>
      <c r="S37" s="4"/>
    </row>
    <row r="38" spans="1:19" ht="22.5" thickTop="1" thickBot="1" x14ac:dyDescent="0.4">
      <c r="A38" s="4"/>
      <c r="B38" s="226" t="s">
        <v>17</v>
      </c>
      <c r="C38" s="227"/>
      <c r="D38" s="228"/>
      <c r="E38" s="157"/>
      <c r="F38" s="142">
        <f>Obra_Albañilería*$O$21</f>
        <v>3773.0000000000005</v>
      </c>
      <c r="G38" s="107"/>
      <c r="H38" s="184">
        <f>SUM(H27:H36)</f>
        <v>3773.0000000000005</v>
      </c>
      <c r="I38" s="107"/>
      <c r="J38" s="143" t="s">
        <v>79</v>
      </c>
      <c r="K38" s="144">
        <f>SUM(K27:K36)</f>
        <v>3430</v>
      </c>
      <c r="L38" s="145"/>
      <c r="M38" s="143" t="s">
        <v>80</v>
      </c>
      <c r="N38" s="144">
        <f>SUM(N27:N36)</f>
        <v>0</v>
      </c>
      <c r="O38" s="146"/>
      <c r="P38" s="147">
        <f>SUM(P27:P36)</f>
        <v>3430</v>
      </c>
      <c r="Q38" s="107"/>
      <c r="R38" s="147">
        <f>SUM(R27:R36)</f>
        <v>343.00000000000045</v>
      </c>
      <c r="S38" s="4"/>
    </row>
    <row r="39" spans="1:19" ht="20.25" thickTop="1" x14ac:dyDescent="0.3">
      <c r="A39" s="7"/>
      <c r="B39" s="89"/>
      <c r="C39" s="89"/>
      <c r="D39" s="89"/>
      <c r="E39" s="89"/>
      <c r="F39" s="89"/>
      <c r="G39" s="7"/>
      <c r="H39" s="7"/>
      <c r="I39" s="7"/>
      <c r="J39" s="4"/>
      <c r="K39" s="4"/>
      <c r="L39" s="4"/>
      <c r="M39" s="4"/>
      <c r="N39" s="4"/>
      <c r="O39" s="4"/>
      <c r="P39" s="4"/>
      <c r="Q39" s="4"/>
      <c r="R39" s="4"/>
      <c r="S39" s="4"/>
    </row>
  </sheetData>
  <mergeCells count="22">
    <mergeCell ref="O2:R4"/>
    <mergeCell ref="O21:R23"/>
    <mergeCell ref="B25:C25"/>
    <mergeCell ref="J25:K25"/>
    <mergeCell ref="M25:N25"/>
    <mergeCell ref="J6:K6"/>
    <mergeCell ref="M6:N6"/>
    <mergeCell ref="B2:B4"/>
    <mergeCell ref="C2:F4"/>
    <mergeCell ref="B19:D19"/>
    <mergeCell ref="C18:D18"/>
    <mergeCell ref="B6:C6"/>
    <mergeCell ref="B21:B23"/>
    <mergeCell ref="C21:F23"/>
    <mergeCell ref="B38:D38"/>
    <mergeCell ref="J2:M4"/>
    <mergeCell ref="N2:N4"/>
    <mergeCell ref="J21:M23"/>
    <mergeCell ref="N21:N23"/>
    <mergeCell ref="C37:D37"/>
    <mergeCell ref="H2:H4"/>
    <mergeCell ref="H21:H23"/>
  </mergeCells>
  <printOptions horizontalCentered="1"/>
  <pageMargins left="0.39370078740157483" right="0.39370078740157483"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9"/>
  <sheetViews>
    <sheetView view="pageBreakPreview" topLeftCell="B1" zoomScale="70" zoomScaleNormal="55" zoomScaleSheetLayoutView="70" workbookViewId="0">
      <selection activeCell="C8" sqref="C8:C11"/>
    </sheetView>
  </sheetViews>
  <sheetFormatPr baseColWidth="10" defaultColWidth="11.42578125" defaultRowHeight="16.5" x14ac:dyDescent="0.3"/>
  <cols>
    <col min="1" max="1" width="7.140625" style="5" customWidth="1"/>
    <col min="2" max="2" width="11.42578125" style="5"/>
    <col min="3" max="3" width="70.85546875" style="5" customWidth="1"/>
    <col min="4" max="4" width="15.42578125" style="5" bestFit="1" customWidth="1"/>
    <col min="5" max="5" width="3.5703125" style="5" customWidth="1"/>
    <col min="6" max="6" width="23.7109375" style="5" bestFit="1" customWidth="1"/>
    <col min="7" max="7" width="4.7109375" style="5" customWidth="1"/>
    <col min="8" max="8" width="23" style="5" bestFit="1" customWidth="1"/>
    <col min="9" max="9" width="4.7109375" style="5" customWidth="1"/>
    <col min="10" max="10" width="24" style="5" bestFit="1" customWidth="1"/>
    <col min="11" max="11" width="25.7109375" style="5" customWidth="1"/>
    <col min="12" max="12" width="4.7109375" style="5" customWidth="1"/>
    <col min="13" max="13" width="31"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6</v>
      </c>
      <c r="C2" s="296" t="s">
        <v>12</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63" x14ac:dyDescent="0.35">
      <c r="A8" s="15"/>
      <c r="B8" s="112">
        <v>1</v>
      </c>
      <c r="C8" s="109" t="s">
        <v>125</v>
      </c>
      <c r="D8" s="110" t="s">
        <v>86</v>
      </c>
      <c r="E8" s="107"/>
      <c r="F8" s="108">
        <f>(((2.7*2.45)*2)+((3.83*2.45)*2)+(2.3*2.45)+(2.3*1.25))*1.1</f>
        <v>44.557700000000011</v>
      </c>
      <c r="G8" s="107"/>
      <c r="H8" s="122">
        <f>P8*$O$2</f>
        <v>2940.8082000000009</v>
      </c>
      <c r="I8" s="107"/>
      <c r="J8" s="149">
        <v>35</v>
      </c>
      <c r="K8" s="124">
        <f t="shared" ref="K8:K17" si="0">$J8*$F8</f>
        <v>1559.5195000000003</v>
      </c>
      <c r="L8" s="125"/>
      <c r="M8" s="149">
        <v>25</v>
      </c>
      <c r="N8" s="124">
        <f t="shared" ref="N8:N17" si="1">$M8*$F8</f>
        <v>1113.9425000000003</v>
      </c>
      <c r="O8" s="125"/>
      <c r="P8" s="126">
        <f>N8+K8</f>
        <v>2673.4620000000004</v>
      </c>
      <c r="Q8" s="125"/>
      <c r="R8" s="126">
        <f>H8-P8</f>
        <v>267.34620000000041</v>
      </c>
      <c r="S8" s="15"/>
    </row>
    <row r="9" spans="1:19" s="16" customFormat="1" ht="63" x14ac:dyDescent="0.35">
      <c r="A9" s="15"/>
      <c r="B9" s="112">
        <v>2</v>
      </c>
      <c r="C9" s="109" t="s">
        <v>126</v>
      </c>
      <c r="D9" s="110" t="s">
        <v>86</v>
      </c>
      <c r="E9" s="107"/>
      <c r="F9" s="108">
        <f>(((2.2*2.45)*2)+((2.55*2.45)*2))*1.15</f>
        <v>26.766249999999996</v>
      </c>
      <c r="G9" s="107"/>
      <c r="H9" s="122">
        <f>P9*$O$2</f>
        <v>1766.5725</v>
      </c>
      <c r="I9" s="107"/>
      <c r="J9" s="123">
        <v>35</v>
      </c>
      <c r="K9" s="124">
        <f t="shared" si="0"/>
        <v>936.81874999999991</v>
      </c>
      <c r="L9" s="125"/>
      <c r="M9" s="123">
        <v>25</v>
      </c>
      <c r="N9" s="124">
        <f t="shared" si="1"/>
        <v>669.15624999999989</v>
      </c>
      <c r="O9" s="125"/>
      <c r="P9" s="126">
        <f t="shared" ref="P9:P17" si="2">N9+K9</f>
        <v>1605.9749999999999</v>
      </c>
      <c r="Q9" s="125"/>
      <c r="R9" s="126">
        <f t="shared" ref="R9:R17" si="3">H9-P9</f>
        <v>160.59750000000008</v>
      </c>
      <c r="S9" s="15"/>
    </row>
    <row r="10" spans="1:19" s="16" customFormat="1" ht="42" x14ac:dyDescent="0.35">
      <c r="A10" s="15"/>
      <c r="B10" s="112">
        <v>3</v>
      </c>
      <c r="C10" s="109" t="s">
        <v>157</v>
      </c>
      <c r="D10" s="110" t="s">
        <v>158</v>
      </c>
      <c r="E10" s="107"/>
      <c r="F10" s="108">
        <v>10</v>
      </c>
      <c r="G10" s="107"/>
      <c r="H10" s="122">
        <f t="shared" ref="H10:H17" si="4">P10*$O$2</f>
        <v>88</v>
      </c>
      <c r="I10" s="107"/>
      <c r="J10" s="123"/>
      <c r="K10" s="124">
        <f t="shared" si="0"/>
        <v>0</v>
      </c>
      <c r="L10" s="125"/>
      <c r="M10" s="123">
        <v>8</v>
      </c>
      <c r="N10" s="124">
        <f t="shared" si="1"/>
        <v>80</v>
      </c>
      <c r="O10" s="125"/>
      <c r="P10" s="126">
        <f t="shared" si="2"/>
        <v>80</v>
      </c>
      <c r="Q10" s="125"/>
      <c r="R10" s="126">
        <f t="shared" si="3"/>
        <v>8</v>
      </c>
      <c r="S10" s="15"/>
    </row>
    <row r="11" spans="1:19" s="16" customFormat="1" ht="21" x14ac:dyDescent="0.35">
      <c r="A11" s="15"/>
      <c r="B11" s="112">
        <v>4</v>
      </c>
      <c r="C11" s="158" t="s">
        <v>168</v>
      </c>
      <c r="D11" s="110" t="s">
        <v>86</v>
      </c>
      <c r="E11" s="107"/>
      <c r="F11" s="108">
        <v>150</v>
      </c>
      <c r="G11" s="107"/>
      <c r="H11" s="122">
        <f t="shared" si="4"/>
        <v>990.00000000000011</v>
      </c>
      <c r="I11" s="107"/>
      <c r="J11" s="123">
        <v>6</v>
      </c>
      <c r="K11" s="124">
        <f t="shared" si="0"/>
        <v>900</v>
      </c>
      <c r="L11" s="125"/>
      <c r="M11" s="123"/>
      <c r="N11" s="124">
        <f t="shared" si="1"/>
        <v>0</v>
      </c>
      <c r="O11" s="125"/>
      <c r="P11" s="126">
        <f t="shared" si="2"/>
        <v>900</v>
      </c>
      <c r="Q11" s="125"/>
      <c r="R11" s="126">
        <f t="shared" si="3"/>
        <v>90.000000000000114</v>
      </c>
      <c r="S11" s="15"/>
    </row>
    <row r="12" spans="1:19" s="16" customFormat="1" ht="19.5" customHeight="1" x14ac:dyDescent="0.35">
      <c r="A12" s="15"/>
      <c r="B12" s="112">
        <v>5</v>
      </c>
      <c r="C12" s="158"/>
      <c r="D12" s="110"/>
      <c r="E12" s="107"/>
      <c r="F12" s="108"/>
      <c r="G12" s="107"/>
      <c r="H12" s="122">
        <f t="shared" si="4"/>
        <v>0</v>
      </c>
      <c r="I12" s="107"/>
      <c r="J12" s="123"/>
      <c r="K12" s="124">
        <f t="shared" si="0"/>
        <v>0</v>
      </c>
      <c r="L12" s="125"/>
      <c r="M12" s="123"/>
      <c r="N12" s="124">
        <f t="shared" si="1"/>
        <v>0</v>
      </c>
      <c r="O12" s="125"/>
      <c r="P12" s="126">
        <f t="shared" si="2"/>
        <v>0</v>
      </c>
      <c r="Q12" s="125"/>
      <c r="R12" s="126">
        <f t="shared" si="3"/>
        <v>0</v>
      </c>
      <c r="S12" s="15"/>
    </row>
    <row r="13" spans="1:19" s="16" customFormat="1" ht="19.5" customHeight="1" x14ac:dyDescent="0.35">
      <c r="A13" s="15"/>
      <c r="B13" s="112">
        <v>6</v>
      </c>
      <c r="C13" s="158"/>
      <c r="D13" s="110"/>
      <c r="E13" s="107"/>
      <c r="F13" s="108"/>
      <c r="G13" s="107"/>
      <c r="H13" s="122">
        <f t="shared" si="4"/>
        <v>0</v>
      </c>
      <c r="I13" s="107"/>
      <c r="J13" s="123"/>
      <c r="K13" s="124">
        <f t="shared" si="0"/>
        <v>0</v>
      </c>
      <c r="L13" s="125"/>
      <c r="M13" s="123"/>
      <c r="N13" s="124">
        <f t="shared" si="1"/>
        <v>0</v>
      </c>
      <c r="O13" s="125"/>
      <c r="P13" s="126">
        <f t="shared" si="2"/>
        <v>0</v>
      </c>
      <c r="Q13" s="125"/>
      <c r="R13" s="126">
        <f t="shared" si="3"/>
        <v>0</v>
      </c>
      <c r="S13" s="15"/>
    </row>
    <row r="14" spans="1:19" s="16" customFormat="1" ht="19.5" customHeight="1" x14ac:dyDescent="0.35">
      <c r="A14" s="15"/>
      <c r="B14" s="112">
        <v>7</v>
      </c>
      <c r="C14" s="158"/>
      <c r="D14" s="110"/>
      <c r="E14" s="107"/>
      <c r="F14" s="108"/>
      <c r="G14" s="107"/>
      <c r="H14" s="122">
        <f t="shared" si="4"/>
        <v>0</v>
      </c>
      <c r="I14" s="107"/>
      <c r="J14" s="123"/>
      <c r="K14" s="124">
        <f t="shared" si="0"/>
        <v>0</v>
      </c>
      <c r="L14" s="125"/>
      <c r="M14" s="123"/>
      <c r="N14" s="124">
        <f t="shared" si="1"/>
        <v>0</v>
      </c>
      <c r="O14" s="125"/>
      <c r="P14" s="126">
        <f t="shared" si="2"/>
        <v>0</v>
      </c>
      <c r="Q14" s="125"/>
      <c r="R14" s="126">
        <f t="shared" si="3"/>
        <v>0</v>
      </c>
      <c r="S14" s="15"/>
    </row>
    <row r="15" spans="1:19" s="16" customFormat="1" ht="19.5" customHeight="1" x14ac:dyDescent="0.35">
      <c r="A15" s="15"/>
      <c r="B15" s="112">
        <v>8</v>
      </c>
      <c r="C15" s="158"/>
      <c r="D15" s="110"/>
      <c r="E15" s="107"/>
      <c r="F15" s="108"/>
      <c r="G15" s="107"/>
      <c r="H15" s="122">
        <f t="shared" si="4"/>
        <v>0</v>
      </c>
      <c r="I15" s="107"/>
      <c r="J15" s="123"/>
      <c r="K15" s="124">
        <f t="shared" si="0"/>
        <v>0</v>
      </c>
      <c r="L15" s="125"/>
      <c r="M15" s="123"/>
      <c r="N15" s="124">
        <f t="shared" si="1"/>
        <v>0</v>
      </c>
      <c r="O15" s="125"/>
      <c r="P15" s="126">
        <f t="shared" si="2"/>
        <v>0</v>
      </c>
      <c r="Q15" s="125"/>
      <c r="R15" s="126">
        <f t="shared" si="3"/>
        <v>0</v>
      </c>
      <c r="S15" s="15"/>
    </row>
    <row r="16" spans="1:19" s="16" customFormat="1" ht="19.5" customHeight="1" x14ac:dyDescent="0.35">
      <c r="A16" s="15"/>
      <c r="B16" s="112">
        <v>9</v>
      </c>
      <c r="C16" s="158"/>
      <c r="D16" s="110"/>
      <c r="E16" s="107"/>
      <c r="F16" s="108"/>
      <c r="G16" s="107"/>
      <c r="H16" s="122">
        <f t="shared" si="4"/>
        <v>0</v>
      </c>
      <c r="I16" s="107"/>
      <c r="J16" s="123"/>
      <c r="K16" s="124">
        <f t="shared" si="0"/>
        <v>0</v>
      </c>
      <c r="L16" s="125"/>
      <c r="M16" s="123"/>
      <c r="N16" s="124">
        <f t="shared" si="1"/>
        <v>0</v>
      </c>
      <c r="O16" s="125"/>
      <c r="P16" s="126">
        <f t="shared" si="2"/>
        <v>0</v>
      </c>
      <c r="Q16" s="125"/>
      <c r="R16" s="126">
        <f t="shared" si="3"/>
        <v>0</v>
      </c>
      <c r="S16" s="15"/>
    </row>
    <row r="17" spans="1:19" s="16" customFormat="1" ht="19.5" customHeight="1" x14ac:dyDescent="0.35">
      <c r="A17" s="15"/>
      <c r="B17" s="112">
        <v>10</v>
      </c>
      <c r="C17" s="158"/>
      <c r="D17" s="110"/>
      <c r="E17" s="107"/>
      <c r="F17" s="108"/>
      <c r="G17" s="107"/>
      <c r="H17" s="122">
        <f t="shared" si="4"/>
        <v>0</v>
      </c>
      <c r="I17" s="107"/>
      <c r="J17" s="123"/>
      <c r="K17" s="124">
        <f t="shared" si="0"/>
        <v>0</v>
      </c>
      <c r="L17" s="125"/>
      <c r="M17" s="123"/>
      <c r="N17" s="124">
        <f t="shared" si="1"/>
        <v>0</v>
      </c>
      <c r="O17" s="125"/>
      <c r="P17" s="126">
        <f t="shared" si="2"/>
        <v>0</v>
      </c>
      <c r="Q17" s="125"/>
      <c r="R17" s="126">
        <f t="shared" si="3"/>
        <v>0</v>
      </c>
      <c r="S17" s="15"/>
    </row>
    <row r="18" spans="1:19" s="16" customFormat="1" ht="9.9499999999999993" customHeight="1" thickBot="1" x14ac:dyDescent="0.4">
      <c r="A18" s="15"/>
      <c r="B18" s="107"/>
      <c r="C18" s="251"/>
      <c r="D18" s="251"/>
      <c r="E18" s="107"/>
      <c r="F18" s="107"/>
      <c r="G18" s="107"/>
      <c r="H18" s="137"/>
      <c r="I18" s="107"/>
      <c r="J18" s="151"/>
      <c r="K18" s="151"/>
      <c r="L18" s="139"/>
      <c r="M18" s="151"/>
      <c r="N18" s="151"/>
      <c r="O18" s="139"/>
      <c r="P18" s="141"/>
      <c r="Q18" s="139"/>
      <c r="R18" s="141"/>
      <c r="S18" s="15"/>
    </row>
    <row r="19" spans="1:19" s="16" customFormat="1" ht="22.5" thickTop="1" thickBot="1" x14ac:dyDescent="0.4">
      <c r="A19" s="15"/>
      <c r="B19" s="226" t="s">
        <v>17</v>
      </c>
      <c r="C19" s="227"/>
      <c r="D19" s="228"/>
      <c r="E19" s="157"/>
      <c r="F19" s="142">
        <f>Obra_Revestimientos*$O$2</f>
        <v>5785.3807000000006</v>
      </c>
      <c r="G19" s="107"/>
      <c r="H19" s="184">
        <f>SUM(H8:H17)</f>
        <v>5785.3807000000006</v>
      </c>
      <c r="I19" s="107"/>
      <c r="J19" s="143" t="s">
        <v>79</v>
      </c>
      <c r="K19" s="144">
        <f>SUM(K8:K17)</f>
        <v>3396.3382500000002</v>
      </c>
      <c r="L19" s="145"/>
      <c r="M19" s="143" t="s">
        <v>80</v>
      </c>
      <c r="N19" s="144">
        <f>SUM(N8:N17)</f>
        <v>1863.0987500000001</v>
      </c>
      <c r="O19" s="146"/>
      <c r="P19" s="147">
        <f>SUM(P8:P17)</f>
        <v>5259.4369999999999</v>
      </c>
      <c r="Q19" s="146"/>
      <c r="R19" s="147">
        <f>SUM(R8:R17)</f>
        <v>525.9437000000006</v>
      </c>
      <c r="S19" s="15"/>
    </row>
    <row r="20" spans="1:19" ht="9.9499999999999993" customHeight="1" thickTop="1" thickBot="1" x14ac:dyDescent="0.4">
      <c r="A20" s="115"/>
      <c r="B20" s="107"/>
      <c r="C20" s="107"/>
      <c r="D20" s="107"/>
      <c r="E20" s="107"/>
      <c r="F20" s="107"/>
      <c r="G20" s="107"/>
      <c r="H20" s="107"/>
      <c r="I20" s="107"/>
      <c r="J20" s="107"/>
      <c r="K20" s="107"/>
      <c r="L20" s="107"/>
      <c r="M20" s="107"/>
      <c r="N20" s="107"/>
      <c r="O20" s="107"/>
      <c r="P20" s="107"/>
      <c r="Q20" s="107"/>
      <c r="R20" s="159"/>
      <c r="S20" s="4"/>
    </row>
    <row r="21" spans="1:19" ht="15" customHeight="1" thickTop="1" x14ac:dyDescent="0.35">
      <c r="A21" s="4"/>
      <c r="B21" s="293" t="s">
        <v>7</v>
      </c>
      <c r="C21" s="296" t="s">
        <v>13</v>
      </c>
      <c r="D21" s="296"/>
      <c r="E21" s="296"/>
      <c r="F21" s="296"/>
      <c r="G21" s="107"/>
      <c r="H21" s="277"/>
      <c r="I21" s="107"/>
      <c r="J21" s="269" t="s">
        <v>76</v>
      </c>
      <c r="K21" s="270"/>
      <c r="L21" s="270"/>
      <c r="M21" s="270"/>
      <c r="N21" s="274" t="s">
        <v>60</v>
      </c>
      <c r="O21" s="303">
        <f>B.I._10</f>
        <v>1.1000000000000001</v>
      </c>
      <c r="P21" s="304"/>
      <c r="Q21" s="304"/>
      <c r="R21" s="305"/>
      <c r="S21" s="4"/>
    </row>
    <row r="22" spans="1:19" ht="15" customHeight="1" x14ac:dyDescent="0.35">
      <c r="A22" s="4"/>
      <c r="B22" s="294"/>
      <c r="C22" s="297"/>
      <c r="D22" s="297"/>
      <c r="E22" s="297"/>
      <c r="F22" s="297"/>
      <c r="G22" s="107"/>
      <c r="H22" s="278"/>
      <c r="I22" s="107"/>
      <c r="J22" s="271"/>
      <c r="K22" s="212"/>
      <c r="L22" s="212"/>
      <c r="M22" s="212"/>
      <c r="N22" s="275"/>
      <c r="O22" s="306"/>
      <c r="P22" s="307"/>
      <c r="Q22" s="307"/>
      <c r="R22" s="308"/>
      <c r="S22" s="4"/>
    </row>
    <row r="23" spans="1:19" ht="15" customHeight="1" thickBot="1" x14ac:dyDescent="0.4">
      <c r="A23" s="4"/>
      <c r="B23" s="295"/>
      <c r="C23" s="298"/>
      <c r="D23" s="298"/>
      <c r="E23" s="298"/>
      <c r="F23" s="298"/>
      <c r="G23" s="107"/>
      <c r="H23" s="279"/>
      <c r="I23" s="107"/>
      <c r="J23" s="272"/>
      <c r="K23" s="273"/>
      <c r="L23" s="273"/>
      <c r="M23" s="273"/>
      <c r="N23" s="276"/>
      <c r="O23" s="309"/>
      <c r="P23" s="310"/>
      <c r="Q23" s="310"/>
      <c r="R23" s="311"/>
      <c r="S23" s="4"/>
    </row>
    <row r="24" spans="1:19" ht="9.9499999999999993" customHeight="1" thickTop="1" thickBot="1" x14ac:dyDescent="0.4">
      <c r="A24" s="15"/>
      <c r="B24" s="107"/>
      <c r="C24" s="132"/>
      <c r="D24" s="132"/>
      <c r="E24" s="107"/>
      <c r="F24" s="107"/>
      <c r="G24" s="107"/>
      <c r="H24" s="107"/>
      <c r="I24" s="107"/>
      <c r="J24" s="107"/>
      <c r="K24" s="107"/>
      <c r="L24" s="107"/>
      <c r="M24" s="107"/>
      <c r="N24" s="107"/>
      <c r="O24" s="107"/>
      <c r="P24" s="107"/>
      <c r="Q24" s="107"/>
      <c r="R24" s="133"/>
      <c r="S24" s="4"/>
    </row>
    <row r="25" spans="1:19" ht="22.5" thickTop="1" thickBot="1" x14ac:dyDescent="0.4">
      <c r="A25" s="15"/>
      <c r="B25" s="289" t="s">
        <v>15</v>
      </c>
      <c r="C25" s="290"/>
      <c r="D25" s="181" t="s">
        <v>14</v>
      </c>
      <c r="E25" s="182"/>
      <c r="F25" s="183" t="s">
        <v>16</v>
      </c>
      <c r="G25" s="182"/>
      <c r="H25" s="183" t="s">
        <v>142</v>
      </c>
      <c r="I25" s="134"/>
      <c r="J25" s="291" t="s">
        <v>77</v>
      </c>
      <c r="K25" s="292"/>
      <c r="L25" s="135"/>
      <c r="M25" s="291" t="s">
        <v>78</v>
      </c>
      <c r="N25" s="292"/>
      <c r="O25" s="135"/>
      <c r="P25" s="183" t="s">
        <v>2</v>
      </c>
      <c r="Q25" s="135"/>
      <c r="R25" s="183" t="s">
        <v>60</v>
      </c>
      <c r="S25" s="4"/>
    </row>
    <row r="26" spans="1:19" ht="9.9499999999999993" customHeight="1" thickTop="1" x14ac:dyDescent="0.35">
      <c r="A26" s="15"/>
      <c r="B26" s="107"/>
      <c r="C26" s="136"/>
      <c r="D26" s="136"/>
      <c r="E26" s="107"/>
      <c r="F26" s="133"/>
      <c r="G26" s="107"/>
      <c r="H26" s="133"/>
      <c r="I26" s="107"/>
      <c r="J26" s="107"/>
      <c r="K26" s="107"/>
      <c r="L26" s="136"/>
      <c r="M26" s="107"/>
      <c r="N26" s="107"/>
      <c r="O26" s="136"/>
      <c r="P26" s="107"/>
      <c r="Q26" s="107"/>
      <c r="R26" s="107"/>
      <c r="S26" s="4"/>
    </row>
    <row r="27" spans="1:19" ht="63" customHeight="1" x14ac:dyDescent="0.35">
      <c r="A27" s="15"/>
      <c r="B27" s="154">
        <v>1</v>
      </c>
      <c r="C27" s="109" t="s">
        <v>127</v>
      </c>
      <c r="D27" s="121" t="s">
        <v>86</v>
      </c>
      <c r="E27" s="107"/>
      <c r="F27" s="156">
        <f>10.3+3.4</f>
        <v>13.700000000000001</v>
      </c>
      <c r="G27" s="107"/>
      <c r="H27" s="122">
        <f>P27*$O$21</f>
        <v>904.2</v>
      </c>
      <c r="I27" s="107"/>
      <c r="J27" s="149">
        <v>35</v>
      </c>
      <c r="K27" s="124">
        <f t="shared" ref="K27:K36" si="5">$J27*$F27</f>
        <v>479.50000000000006</v>
      </c>
      <c r="L27" s="125"/>
      <c r="M27" s="149">
        <v>25</v>
      </c>
      <c r="N27" s="124">
        <f t="shared" ref="N27:N36" si="6">$M27*$F27</f>
        <v>342.5</v>
      </c>
      <c r="O27" s="125"/>
      <c r="P27" s="126">
        <f>N27+K27</f>
        <v>822</v>
      </c>
      <c r="Q27" s="107"/>
      <c r="R27" s="126">
        <f>H27-P27</f>
        <v>82.200000000000045</v>
      </c>
      <c r="S27" s="4"/>
    </row>
    <row r="28" spans="1:19" ht="66.75" customHeight="1" x14ac:dyDescent="0.35">
      <c r="A28" s="15"/>
      <c r="B28" s="112">
        <v>2</v>
      </c>
      <c r="C28" s="109" t="s">
        <v>128</v>
      </c>
      <c r="D28" s="121" t="s">
        <v>86</v>
      </c>
      <c r="E28" s="107"/>
      <c r="F28" s="108">
        <v>5.94</v>
      </c>
      <c r="G28" s="107"/>
      <c r="H28" s="122">
        <f t="shared" ref="H28:H36" si="7">P28*$O$21</f>
        <v>392.04</v>
      </c>
      <c r="I28" s="107"/>
      <c r="J28" s="123">
        <v>35</v>
      </c>
      <c r="K28" s="124">
        <f t="shared" si="5"/>
        <v>207.9</v>
      </c>
      <c r="L28" s="125"/>
      <c r="M28" s="123">
        <v>25</v>
      </c>
      <c r="N28" s="124">
        <f t="shared" si="6"/>
        <v>148.5</v>
      </c>
      <c r="O28" s="125"/>
      <c r="P28" s="126">
        <f t="shared" ref="P28:P36" si="8">N28+K28</f>
        <v>356.4</v>
      </c>
      <c r="Q28" s="107"/>
      <c r="R28" s="126">
        <f t="shared" ref="R28:R36" si="9">H28-P28</f>
        <v>35.640000000000043</v>
      </c>
      <c r="S28" s="4"/>
    </row>
    <row r="29" spans="1:19" ht="118.5" customHeight="1" x14ac:dyDescent="0.35">
      <c r="A29" s="15"/>
      <c r="B29" s="112">
        <v>3</v>
      </c>
      <c r="C29" s="109" t="s">
        <v>129</v>
      </c>
      <c r="D29" s="121" t="s">
        <v>86</v>
      </c>
      <c r="E29" s="107"/>
      <c r="F29" s="108">
        <f>(93.8-(F27+F28))</f>
        <v>74.16</v>
      </c>
      <c r="G29" s="107"/>
      <c r="H29" s="122">
        <f>P29*$O$21</f>
        <v>2202.5519999999997</v>
      </c>
      <c r="I29" s="107"/>
      <c r="J29" s="123">
        <v>12</v>
      </c>
      <c r="K29" s="124">
        <f t="shared" si="5"/>
        <v>889.92</v>
      </c>
      <c r="L29" s="125"/>
      <c r="M29" s="123">
        <v>15</v>
      </c>
      <c r="N29" s="124">
        <f t="shared" si="6"/>
        <v>1112.3999999999999</v>
      </c>
      <c r="O29" s="125"/>
      <c r="P29" s="126">
        <f t="shared" si="8"/>
        <v>2002.3199999999997</v>
      </c>
      <c r="Q29" s="107"/>
      <c r="R29" s="126">
        <f t="shared" si="9"/>
        <v>200.23199999999997</v>
      </c>
      <c r="S29" s="4"/>
    </row>
    <row r="30" spans="1:19" ht="21" x14ac:dyDescent="0.35">
      <c r="A30" s="15"/>
      <c r="B30" s="112">
        <v>4</v>
      </c>
      <c r="C30" s="158"/>
      <c r="D30" s="110"/>
      <c r="E30" s="107"/>
      <c r="F30" s="108"/>
      <c r="G30" s="107"/>
      <c r="H30" s="122">
        <f t="shared" si="7"/>
        <v>0</v>
      </c>
      <c r="I30" s="107"/>
      <c r="J30" s="123"/>
      <c r="K30" s="124">
        <f t="shared" si="5"/>
        <v>0</v>
      </c>
      <c r="L30" s="125"/>
      <c r="M30" s="123"/>
      <c r="N30" s="124">
        <f t="shared" si="6"/>
        <v>0</v>
      </c>
      <c r="O30" s="125"/>
      <c r="P30" s="126">
        <f t="shared" si="8"/>
        <v>0</v>
      </c>
      <c r="Q30" s="107"/>
      <c r="R30" s="126">
        <f t="shared" si="9"/>
        <v>0</v>
      </c>
      <c r="S30" s="4"/>
    </row>
    <row r="31" spans="1:19" ht="21" x14ac:dyDescent="0.35">
      <c r="A31" s="15"/>
      <c r="B31" s="112">
        <v>5</v>
      </c>
      <c r="C31" s="109"/>
      <c r="D31" s="130"/>
      <c r="E31" s="107"/>
      <c r="F31" s="108"/>
      <c r="G31" s="107"/>
      <c r="H31" s="122">
        <f t="shared" si="7"/>
        <v>0</v>
      </c>
      <c r="I31" s="107"/>
      <c r="J31" s="123"/>
      <c r="K31" s="124">
        <f t="shared" si="5"/>
        <v>0</v>
      </c>
      <c r="L31" s="125"/>
      <c r="M31" s="123"/>
      <c r="N31" s="124">
        <f t="shared" si="6"/>
        <v>0</v>
      </c>
      <c r="O31" s="125"/>
      <c r="P31" s="126">
        <f t="shared" si="8"/>
        <v>0</v>
      </c>
      <c r="Q31" s="107"/>
      <c r="R31" s="126">
        <f t="shared" si="9"/>
        <v>0</v>
      </c>
      <c r="S31" s="4"/>
    </row>
    <row r="32" spans="1:19" ht="21" x14ac:dyDescent="0.35">
      <c r="A32" s="15"/>
      <c r="B32" s="112">
        <v>6</v>
      </c>
      <c r="C32" s="109"/>
      <c r="D32" s="130"/>
      <c r="E32" s="107"/>
      <c r="F32" s="108"/>
      <c r="G32" s="107"/>
      <c r="H32" s="122">
        <f t="shared" si="7"/>
        <v>0</v>
      </c>
      <c r="I32" s="107"/>
      <c r="J32" s="123"/>
      <c r="K32" s="124">
        <f t="shared" si="5"/>
        <v>0</v>
      </c>
      <c r="L32" s="125"/>
      <c r="M32" s="123"/>
      <c r="N32" s="124">
        <f t="shared" si="6"/>
        <v>0</v>
      </c>
      <c r="O32" s="125"/>
      <c r="P32" s="126">
        <f t="shared" si="8"/>
        <v>0</v>
      </c>
      <c r="Q32" s="107"/>
      <c r="R32" s="126">
        <f t="shared" si="9"/>
        <v>0</v>
      </c>
      <c r="S32" s="4"/>
    </row>
    <row r="33" spans="1:19" ht="21" x14ac:dyDescent="0.35">
      <c r="A33" s="15"/>
      <c r="B33" s="112">
        <v>7</v>
      </c>
      <c r="C33" s="109"/>
      <c r="D33" s="130"/>
      <c r="E33" s="107"/>
      <c r="F33" s="108"/>
      <c r="G33" s="107"/>
      <c r="H33" s="122">
        <f t="shared" si="7"/>
        <v>0</v>
      </c>
      <c r="I33" s="107"/>
      <c r="J33" s="123"/>
      <c r="K33" s="124">
        <f t="shared" si="5"/>
        <v>0</v>
      </c>
      <c r="L33" s="125"/>
      <c r="M33" s="123"/>
      <c r="N33" s="124">
        <f t="shared" si="6"/>
        <v>0</v>
      </c>
      <c r="O33" s="125"/>
      <c r="P33" s="126">
        <f t="shared" si="8"/>
        <v>0</v>
      </c>
      <c r="Q33" s="107"/>
      <c r="R33" s="126">
        <f t="shared" si="9"/>
        <v>0</v>
      </c>
      <c r="S33" s="4"/>
    </row>
    <row r="34" spans="1:19" ht="21" x14ac:dyDescent="0.35">
      <c r="A34" s="15"/>
      <c r="B34" s="112">
        <v>8</v>
      </c>
      <c r="C34" s="109"/>
      <c r="D34" s="130"/>
      <c r="E34" s="107"/>
      <c r="F34" s="108"/>
      <c r="G34" s="107"/>
      <c r="H34" s="122">
        <f t="shared" si="7"/>
        <v>0</v>
      </c>
      <c r="I34" s="107"/>
      <c r="J34" s="123"/>
      <c r="K34" s="124">
        <f t="shared" si="5"/>
        <v>0</v>
      </c>
      <c r="L34" s="125"/>
      <c r="M34" s="123"/>
      <c r="N34" s="124">
        <f t="shared" si="6"/>
        <v>0</v>
      </c>
      <c r="O34" s="125"/>
      <c r="P34" s="126">
        <f t="shared" si="8"/>
        <v>0</v>
      </c>
      <c r="Q34" s="107"/>
      <c r="R34" s="126">
        <f t="shared" si="9"/>
        <v>0</v>
      </c>
      <c r="S34" s="4"/>
    </row>
    <row r="35" spans="1:19" ht="21" x14ac:dyDescent="0.35">
      <c r="A35" s="15"/>
      <c r="B35" s="112">
        <v>9</v>
      </c>
      <c r="C35" s="109"/>
      <c r="D35" s="130"/>
      <c r="E35" s="107"/>
      <c r="F35" s="108"/>
      <c r="G35" s="107"/>
      <c r="H35" s="122">
        <f t="shared" si="7"/>
        <v>0</v>
      </c>
      <c r="I35" s="107"/>
      <c r="J35" s="123"/>
      <c r="K35" s="124">
        <f t="shared" si="5"/>
        <v>0</v>
      </c>
      <c r="L35" s="125"/>
      <c r="M35" s="123"/>
      <c r="N35" s="124">
        <f t="shared" si="6"/>
        <v>0</v>
      </c>
      <c r="O35" s="125"/>
      <c r="P35" s="126">
        <f t="shared" si="8"/>
        <v>0</v>
      </c>
      <c r="Q35" s="107"/>
      <c r="R35" s="126">
        <f t="shared" si="9"/>
        <v>0</v>
      </c>
      <c r="S35" s="4"/>
    </row>
    <row r="36" spans="1:19" ht="21" x14ac:dyDescent="0.35">
      <c r="A36" s="15"/>
      <c r="B36" s="112">
        <v>10</v>
      </c>
      <c r="C36" s="109"/>
      <c r="D36" s="130"/>
      <c r="E36" s="107"/>
      <c r="F36" s="108"/>
      <c r="G36" s="107"/>
      <c r="H36" s="122">
        <f t="shared" si="7"/>
        <v>0</v>
      </c>
      <c r="I36" s="107"/>
      <c r="J36" s="123"/>
      <c r="K36" s="124">
        <f t="shared" si="5"/>
        <v>0</v>
      </c>
      <c r="L36" s="125"/>
      <c r="M36" s="123"/>
      <c r="N36" s="124">
        <f t="shared" si="6"/>
        <v>0</v>
      </c>
      <c r="O36" s="125"/>
      <c r="P36" s="126">
        <f t="shared" si="8"/>
        <v>0</v>
      </c>
      <c r="Q36" s="107"/>
      <c r="R36" s="126">
        <f t="shared" si="9"/>
        <v>0</v>
      </c>
      <c r="S36" s="4"/>
    </row>
    <row r="37" spans="1:19" ht="9.9499999999999993" customHeight="1" thickBot="1" x14ac:dyDescent="0.4">
      <c r="A37" s="15"/>
      <c r="B37" s="107"/>
      <c r="C37" s="251"/>
      <c r="D37" s="251"/>
      <c r="E37" s="107"/>
      <c r="F37" s="107"/>
      <c r="G37" s="107"/>
      <c r="H37" s="137"/>
      <c r="I37" s="107"/>
      <c r="J37" s="151"/>
      <c r="K37" s="151"/>
      <c r="L37" s="139"/>
      <c r="M37" s="151"/>
      <c r="N37" s="151"/>
      <c r="O37" s="139"/>
      <c r="P37" s="141"/>
      <c r="Q37" s="107"/>
      <c r="R37" s="141"/>
      <c r="S37" s="4"/>
    </row>
    <row r="38" spans="1:19" ht="22.5" thickTop="1" thickBot="1" x14ac:dyDescent="0.4">
      <c r="A38" s="15"/>
      <c r="B38" s="299" t="s">
        <v>17</v>
      </c>
      <c r="C38" s="300"/>
      <c r="D38" s="301"/>
      <c r="E38" s="133"/>
      <c r="F38" s="142">
        <f>Obra_Pavimentos*$O$21</f>
        <v>3498.7919999999999</v>
      </c>
      <c r="G38" s="107"/>
      <c r="H38" s="184">
        <f>SUM(H27:H36)</f>
        <v>3498.7919999999995</v>
      </c>
      <c r="I38" s="107"/>
      <c r="J38" s="143" t="s">
        <v>79</v>
      </c>
      <c r="K38" s="144">
        <f>SUM(K27:K36)</f>
        <v>1577.3200000000002</v>
      </c>
      <c r="L38" s="145"/>
      <c r="M38" s="143" t="s">
        <v>80</v>
      </c>
      <c r="N38" s="144">
        <f>SUM(N27:N36)</f>
        <v>1603.3999999999999</v>
      </c>
      <c r="O38" s="146"/>
      <c r="P38" s="147">
        <f>SUM(P27:P36)</f>
        <v>3180.72</v>
      </c>
      <c r="Q38" s="107"/>
      <c r="R38" s="147">
        <f>SUM(R27:R36)</f>
        <v>318.07200000000006</v>
      </c>
      <c r="S38" s="4"/>
    </row>
    <row r="39" spans="1:19" ht="20.25" thickTop="1" x14ac:dyDescent="0.3">
      <c r="A39" s="7"/>
      <c r="B39" s="302"/>
      <c r="C39" s="302"/>
      <c r="D39" s="302"/>
      <c r="E39" s="302"/>
      <c r="F39" s="302"/>
      <c r="G39" s="7"/>
      <c r="H39" s="7"/>
      <c r="I39" s="7"/>
      <c r="J39" s="4"/>
      <c r="K39" s="4"/>
      <c r="L39" s="4"/>
      <c r="M39" s="4"/>
      <c r="N39" s="4"/>
      <c r="O39" s="4"/>
      <c r="P39" s="4"/>
      <c r="Q39" s="4"/>
      <c r="R39" s="4"/>
      <c r="S39" s="4"/>
    </row>
  </sheetData>
  <mergeCells count="23">
    <mergeCell ref="O21:R23"/>
    <mergeCell ref="B21:B23"/>
    <mergeCell ref="C21:F23"/>
    <mergeCell ref="B2:B4"/>
    <mergeCell ref="C2:F4"/>
    <mergeCell ref="C18:D18"/>
    <mergeCell ref="B19:D19"/>
    <mergeCell ref="B6:C6"/>
    <mergeCell ref="J6:K6"/>
    <mergeCell ref="M6:N6"/>
    <mergeCell ref="O2:R4"/>
    <mergeCell ref="B38:D38"/>
    <mergeCell ref="B39:F39"/>
    <mergeCell ref="J2:M4"/>
    <mergeCell ref="N2:N4"/>
    <mergeCell ref="J21:M23"/>
    <mergeCell ref="N21:N23"/>
    <mergeCell ref="B25:C25"/>
    <mergeCell ref="J25:K25"/>
    <mergeCell ref="M25:N25"/>
    <mergeCell ref="C37:D37"/>
    <mergeCell ref="H2:H4"/>
    <mergeCell ref="H21:H23"/>
  </mergeCells>
  <printOptions horizontalCentered="1"/>
  <pageMargins left="0.39370078740157483" right="0.39370078740157483" top="0.74803149606299213" bottom="0.74803149606299213" header="0.31496062992125984" footer="0.31496062992125984"/>
  <pageSetup paperSize="9"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9"/>
  <sheetViews>
    <sheetView view="pageBreakPreview" zoomScale="60" zoomScaleNormal="55" workbookViewId="0">
      <selection activeCell="H14" sqref="H14"/>
    </sheetView>
  </sheetViews>
  <sheetFormatPr baseColWidth="10" defaultColWidth="11.42578125" defaultRowHeight="16.5" x14ac:dyDescent="0.3"/>
  <cols>
    <col min="1" max="1" width="7.140625" style="5" customWidth="1"/>
    <col min="2" max="2" width="11.42578125" style="5"/>
    <col min="3" max="3" width="71.42578125" style="5" customWidth="1"/>
    <col min="4" max="4" width="14.42578125" style="5" bestFit="1" customWidth="1"/>
    <col min="5" max="5" width="3.5703125" style="5" customWidth="1"/>
    <col min="6" max="6" width="23.2851562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31.28515625"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4</v>
      </c>
      <c r="C2" s="296" t="s">
        <v>134</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63" x14ac:dyDescent="0.35">
      <c r="A8" s="15"/>
      <c r="B8" s="112">
        <v>1</v>
      </c>
      <c r="C8" s="109" t="s">
        <v>97</v>
      </c>
      <c r="D8" s="110" t="s">
        <v>85</v>
      </c>
      <c r="E8" s="107"/>
      <c r="F8" s="108">
        <v>2</v>
      </c>
      <c r="G8" s="107"/>
      <c r="H8" s="122">
        <f>P8*$O$2</f>
        <v>1224.5200000000002</v>
      </c>
      <c r="I8" s="107"/>
      <c r="J8" s="149"/>
      <c r="K8" s="124">
        <f t="shared" ref="K8:K17" si="0">$J8*$F8</f>
        <v>0</v>
      </c>
      <c r="L8" s="125"/>
      <c r="M8" s="149">
        <f>460*1.21</f>
        <v>556.6</v>
      </c>
      <c r="N8" s="124">
        <f t="shared" ref="N8:N17" si="1">$M8*$F8</f>
        <v>1113.2</v>
      </c>
      <c r="O8" s="125"/>
      <c r="P8" s="126">
        <f>N8+K8</f>
        <v>1113.2</v>
      </c>
      <c r="Q8" s="125"/>
      <c r="R8" s="126">
        <f>H8-P8</f>
        <v>111.32000000000016</v>
      </c>
      <c r="S8" s="15"/>
    </row>
    <row r="9" spans="1:19" s="16" customFormat="1" ht="84" x14ac:dyDescent="0.35">
      <c r="A9" s="15"/>
      <c r="B9" s="112">
        <v>2</v>
      </c>
      <c r="C9" s="109" t="s">
        <v>98</v>
      </c>
      <c r="D9" s="110" t="s">
        <v>85</v>
      </c>
      <c r="E9" s="107"/>
      <c r="F9" s="156">
        <v>1</v>
      </c>
      <c r="G9" s="107"/>
      <c r="H9" s="122">
        <f>P9*$O$2</f>
        <v>798.6</v>
      </c>
      <c r="I9" s="107"/>
      <c r="J9" s="123"/>
      <c r="K9" s="124">
        <f t="shared" si="0"/>
        <v>0</v>
      </c>
      <c r="L9" s="125"/>
      <c r="M9" s="149">
        <f>600*1.21</f>
        <v>726</v>
      </c>
      <c r="N9" s="124">
        <f t="shared" si="1"/>
        <v>726</v>
      </c>
      <c r="O9" s="125"/>
      <c r="P9" s="126">
        <f t="shared" ref="P9:P17" si="2">N9+K9</f>
        <v>726</v>
      </c>
      <c r="Q9" s="125"/>
      <c r="R9" s="126">
        <f t="shared" ref="R9:R17" si="3">H9-P9</f>
        <v>72.600000000000023</v>
      </c>
      <c r="S9" s="15"/>
    </row>
    <row r="10" spans="1:19" s="16" customFormat="1" ht="63" x14ac:dyDescent="0.35">
      <c r="A10" s="15"/>
      <c r="B10" s="112">
        <v>3</v>
      </c>
      <c r="C10" s="109" t="s">
        <v>99</v>
      </c>
      <c r="D10" s="110" t="s">
        <v>85</v>
      </c>
      <c r="E10" s="107"/>
      <c r="F10" s="108">
        <v>1</v>
      </c>
      <c r="G10" s="107"/>
      <c r="H10" s="122">
        <f t="shared" ref="H10:H17" si="4">P10*$O$2</f>
        <v>452.54</v>
      </c>
      <c r="I10" s="107"/>
      <c r="J10" s="123"/>
      <c r="K10" s="124">
        <f t="shared" si="0"/>
        <v>0</v>
      </c>
      <c r="L10" s="125"/>
      <c r="M10" s="149">
        <f>340*1.21</f>
        <v>411.4</v>
      </c>
      <c r="N10" s="124">
        <f t="shared" si="1"/>
        <v>411.4</v>
      </c>
      <c r="O10" s="125"/>
      <c r="P10" s="126">
        <f t="shared" si="2"/>
        <v>411.4</v>
      </c>
      <c r="Q10" s="125"/>
      <c r="R10" s="126">
        <f t="shared" si="3"/>
        <v>41.140000000000043</v>
      </c>
      <c r="S10" s="15"/>
    </row>
    <row r="11" spans="1:19" s="16" customFormat="1" ht="63" x14ac:dyDescent="0.35">
      <c r="A11" s="15"/>
      <c r="B11" s="112">
        <v>4</v>
      </c>
      <c r="C11" s="109" t="s">
        <v>100</v>
      </c>
      <c r="D11" s="110" t="s">
        <v>85</v>
      </c>
      <c r="E11" s="107"/>
      <c r="F11" s="108">
        <v>1</v>
      </c>
      <c r="G11" s="107"/>
      <c r="H11" s="122">
        <f t="shared" si="4"/>
        <v>585.64</v>
      </c>
      <c r="I11" s="107"/>
      <c r="J11" s="123"/>
      <c r="K11" s="124">
        <f t="shared" si="0"/>
        <v>0</v>
      </c>
      <c r="L11" s="125"/>
      <c r="M11" s="149">
        <f>440*1.21</f>
        <v>532.4</v>
      </c>
      <c r="N11" s="124">
        <f t="shared" si="1"/>
        <v>532.4</v>
      </c>
      <c r="O11" s="125"/>
      <c r="P11" s="126">
        <f t="shared" si="2"/>
        <v>532.4</v>
      </c>
      <c r="Q11" s="125"/>
      <c r="R11" s="126">
        <f t="shared" si="3"/>
        <v>53.240000000000009</v>
      </c>
      <c r="S11" s="15"/>
    </row>
    <row r="12" spans="1:19" s="16" customFormat="1" ht="63" x14ac:dyDescent="0.35">
      <c r="A12" s="15"/>
      <c r="B12" s="112">
        <v>5</v>
      </c>
      <c r="C12" s="109" t="s">
        <v>101</v>
      </c>
      <c r="D12" s="110" t="s">
        <v>85</v>
      </c>
      <c r="E12" s="107"/>
      <c r="F12" s="108">
        <v>1</v>
      </c>
      <c r="G12" s="107"/>
      <c r="H12" s="122">
        <f t="shared" si="4"/>
        <v>465.85</v>
      </c>
      <c r="I12" s="107"/>
      <c r="J12" s="123"/>
      <c r="K12" s="124">
        <f t="shared" si="0"/>
        <v>0</v>
      </c>
      <c r="L12" s="125"/>
      <c r="M12" s="149">
        <f>350*1.21</f>
        <v>423.5</v>
      </c>
      <c r="N12" s="124">
        <f t="shared" si="1"/>
        <v>423.5</v>
      </c>
      <c r="O12" s="125"/>
      <c r="P12" s="126">
        <f t="shared" si="2"/>
        <v>423.5</v>
      </c>
      <c r="Q12" s="125"/>
      <c r="R12" s="126">
        <f t="shared" si="3"/>
        <v>42.350000000000023</v>
      </c>
      <c r="S12" s="15"/>
    </row>
    <row r="13" spans="1:19" s="16" customFormat="1" ht="63" x14ac:dyDescent="0.35">
      <c r="A13" s="15"/>
      <c r="B13" s="112">
        <v>6</v>
      </c>
      <c r="C13" s="109" t="s">
        <v>102</v>
      </c>
      <c r="D13" s="110" t="s">
        <v>85</v>
      </c>
      <c r="E13" s="107"/>
      <c r="F13" s="108">
        <v>1</v>
      </c>
      <c r="G13" s="107"/>
      <c r="H13" s="122">
        <f t="shared" si="4"/>
        <v>1357.6200000000001</v>
      </c>
      <c r="I13" s="107"/>
      <c r="J13" s="123"/>
      <c r="K13" s="124">
        <f t="shared" si="0"/>
        <v>0</v>
      </c>
      <c r="L13" s="125"/>
      <c r="M13" s="149">
        <f>1020*1.21</f>
        <v>1234.2</v>
      </c>
      <c r="N13" s="124">
        <f t="shared" si="1"/>
        <v>1234.2</v>
      </c>
      <c r="O13" s="125"/>
      <c r="P13" s="126">
        <f t="shared" si="2"/>
        <v>1234.2</v>
      </c>
      <c r="Q13" s="125"/>
      <c r="R13" s="126">
        <f t="shared" si="3"/>
        <v>123.42000000000007</v>
      </c>
      <c r="S13" s="15"/>
    </row>
    <row r="14" spans="1:19" s="16" customFormat="1" ht="63" x14ac:dyDescent="0.35">
      <c r="A14" s="15"/>
      <c r="B14" s="112">
        <v>7</v>
      </c>
      <c r="C14" s="160" t="s">
        <v>103</v>
      </c>
      <c r="D14" s="110" t="s">
        <v>85</v>
      </c>
      <c r="E14" s="107"/>
      <c r="F14" s="108">
        <v>1</v>
      </c>
      <c r="G14" s="107"/>
      <c r="H14" s="122">
        <f t="shared" si="4"/>
        <v>335.5</v>
      </c>
      <c r="I14" s="107"/>
      <c r="J14" s="123">
        <v>20</v>
      </c>
      <c r="K14" s="124">
        <f t="shared" si="0"/>
        <v>20</v>
      </c>
      <c r="L14" s="125"/>
      <c r="M14" s="123">
        <v>285</v>
      </c>
      <c r="N14" s="124">
        <f t="shared" si="1"/>
        <v>285</v>
      </c>
      <c r="O14" s="125"/>
      <c r="P14" s="126">
        <f t="shared" si="2"/>
        <v>305</v>
      </c>
      <c r="Q14" s="125"/>
      <c r="R14" s="126">
        <f t="shared" si="3"/>
        <v>30.5</v>
      </c>
      <c r="S14" s="15"/>
    </row>
    <row r="15" spans="1:19" s="16" customFormat="1" ht="21" x14ac:dyDescent="0.35">
      <c r="A15" s="15"/>
      <c r="B15" s="112">
        <v>8</v>
      </c>
      <c r="C15" s="160"/>
      <c r="D15" s="110"/>
      <c r="E15" s="107"/>
      <c r="F15" s="108"/>
      <c r="G15" s="107"/>
      <c r="H15" s="122">
        <f t="shared" si="4"/>
        <v>0</v>
      </c>
      <c r="I15" s="107"/>
      <c r="J15" s="123"/>
      <c r="K15" s="124">
        <f t="shared" si="0"/>
        <v>0</v>
      </c>
      <c r="L15" s="125"/>
      <c r="M15" s="123"/>
      <c r="N15" s="124">
        <f t="shared" si="1"/>
        <v>0</v>
      </c>
      <c r="O15" s="125"/>
      <c r="P15" s="126">
        <f t="shared" si="2"/>
        <v>0</v>
      </c>
      <c r="Q15" s="125"/>
      <c r="R15" s="126">
        <f t="shared" si="3"/>
        <v>0</v>
      </c>
      <c r="S15" s="15"/>
    </row>
    <row r="16" spans="1:19" s="16" customFormat="1" ht="21" x14ac:dyDescent="0.35">
      <c r="A16" s="15"/>
      <c r="B16" s="112">
        <v>9</v>
      </c>
      <c r="C16" s="160"/>
      <c r="D16" s="110"/>
      <c r="E16" s="107"/>
      <c r="F16" s="108"/>
      <c r="G16" s="107"/>
      <c r="H16" s="122">
        <f t="shared" si="4"/>
        <v>0</v>
      </c>
      <c r="I16" s="107"/>
      <c r="J16" s="123"/>
      <c r="K16" s="124">
        <f t="shared" si="0"/>
        <v>0</v>
      </c>
      <c r="L16" s="125"/>
      <c r="M16" s="123"/>
      <c r="N16" s="124">
        <f t="shared" si="1"/>
        <v>0</v>
      </c>
      <c r="O16" s="125"/>
      <c r="P16" s="126">
        <f t="shared" si="2"/>
        <v>0</v>
      </c>
      <c r="Q16" s="125"/>
      <c r="R16" s="126">
        <f t="shared" si="3"/>
        <v>0</v>
      </c>
      <c r="S16" s="15"/>
    </row>
    <row r="17" spans="1:19" s="16" customFormat="1" ht="21" x14ac:dyDescent="0.35">
      <c r="A17" s="15"/>
      <c r="B17" s="112">
        <v>10</v>
      </c>
      <c r="C17" s="160"/>
      <c r="D17" s="110"/>
      <c r="E17" s="107"/>
      <c r="F17" s="108"/>
      <c r="G17" s="107"/>
      <c r="H17" s="122">
        <f t="shared" si="4"/>
        <v>0</v>
      </c>
      <c r="I17" s="107"/>
      <c r="J17" s="123"/>
      <c r="K17" s="124">
        <f t="shared" si="0"/>
        <v>0</v>
      </c>
      <c r="L17" s="125"/>
      <c r="M17" s="123"/>
      <c r="N17" s="124">
        <f t="shared" si="1"/>
        <v>0</v>
      </c>
      <c r="O17" s="125"/>
      <c r="P17" s="126">
        <f t="shared" si="2"/>
        <v>0</v>
      </c>
      <c r="Q17" s="125"/>
      <c r="R17" s="126">
        <f t="shared" si="3"/>
        <v>0</v>
      </c>
      <c r="S17" s="15"/>
    </row>
    <row r="18" spans="1:19" s="16" customFormat="1" ht="9.9499999999999993" customHeight="1" thickBot="1" x14ac:dyDescent="0.4">
      <c r="A18" s="15"/>
      <c r="B18" s="107"/>
      <c r="C18" s="251"/>
      <c r="D18" s="251"/>
      <c r="E18" s="107"/>
      <c r="F18" s="107"/>
      <c r="G18" s="107"/>
      <c r="H18" s="137"/>
      <c r="I18" s="107"/>
      <c r="J18" s="138"/>
      <c r="K18" s="138"/>
      <c r="L18" s="139"/>
      <c r="M18" s="138"/>
      <c r="N18" s="138"/>
      <c r="O18" s="139"/>
      <c r="P18" s="140"/>
      <c r="Q18" s="139"/>
      <c r="R18" s="141"/>
      <c r="S18" s="15"/>
    </row>
    <row r="19" spans="1:19" s="16" customFormat="1" ht="21" customHeight="1" thickTop="1" thickBot="1" x14ac:dyDescent="0.4">
      <c r="A19" s="15"/>
      <c r="B19" s="226" t="s">
        <v>17</v>
      </c>
      <c r="C19" s="227"/>
      <c r="D19" s="228"/>
      <c r="E19" s="133"/>
      <c r="F19" s="142">
        <f>Obra_Carpintería_A*$O$2</f>
        <v>5220.2700000000004</v>
      </c>
      <c r="G19" s="107"/>
      <c r="H19" s="184">
        <f>SUM(H8:H17)</f>
        <v>5220.2700000000004</v>
      </c>
      <c r="I19" s="107"/>
      <c r="J19" s="143" t="s">
        <v>79</v>
      </c>
      <c r="K19" s="144">
        <f>SUM(K8:K17)</f>
        <v>20</v>
      </c>
      <c r="L19" s="145"/>
      <c r="M19" s="143" t="s">
        <v>80</v>
      </c>
      <c r="N19" s="144">
        <f>SUM(N8:N17)</f>
        <v>4725.7</v>
      </c>
      <c r="O19" s="146"/>
      <c r="P19" s="147">
        <f>SUM(P8:P17)</f>
        <v>4745.7</v>
      </c>
      <c r="Q19" s="146"/>
      <c r="R19" s="147">
        <f>SUM(R8:R17)</f>
        <v>474.57000000000033</v>
      </c>
      <c r="S19" s="15"/>
    </row>
    <row r="20" spans="1:19" ht="9.9499999999999993" customHeight="1" thickTop="1" thickBot="1" x14ac:dyDescent="0.4">
      <c r="A20" s="115"/>
      <c r="B20" s="107"/>
      <c r="C20" s="107"/>
      <c r="D20" s="107"/>
      <c r="E20" s="107"/>
      <c r="F20" s="107"/>
      <c r="G20" s="107"/>
      <c r="H20" s="107"/>
      <c r="I20" s="107"/>
      <c r="J20" s="107"/>
      <c r="K20" s="107"/>
      <c r="L20" s="107"/>
      <c r="M20" s="107"/>
      <c r="N20" s="107"/>
      <c r="O20" s="107"/>
      <c r="P20" s="107"/>
      <c r="Q20" s="107"/>
      <c r="R20" s="133"/>
      <c r="S20" s="4"/>
    </row>
    <row r="21" spans="1:19" ht="15" customHeight="1" thickTop="1" x14ac:dyDescent="0.35">
      <c r="A21" s="4"/>
      <c r="B21" s="293" t="s">
        <v>5</v>
      </c>
      <c r="C21" s="296" t="s">
        <v>135</v>
      </c>
      <c r="D21" s="296"/>
      <c r="E21" s="296"/>
      <c r="F21" s="296"/>
      <c r="G21" s="107"/>
      <c r="H21" s="277"/>
      <c r="I21" s="107"/>
      <c r="J21" s="269" t="s">
        <v>76</v>
      </c>
      <c r="K21" s="270"/>
      <c r="L21" s="270"/>
      <c r="M21" s="270"/>
      <c r="N21" s="274" t="s">
        <v>60</v>
      </c>
      <c r="O21" s="303">
        <f>B.I._10</f>
        <v>1.1000000000000001</v>
      </c>
      <c r="P21" s="304"/>
      <c r="Q21" s="304"/>
      <c r="R21" s="305"/>
      <c r="S21" s="4"/>
    </row>
    <row r="22" spans="1:19" ht="15" customHeight="1" x14ac:dyDescent="0.35">
      <c r="A22" s="4"/>
      <c r="B22" s="294"/>
      <c r="C22" s="297"/>
      <c r="D22" s="297"/>
      <c r="E22" s="297"/>
      <c r="F22" s="297"/>
      <c r="G22" s="107"/>
      <c r="H22" s="278"/>
      <c r="I22" s="107"/>
      <c r="J22" s="271"/>
      <c r="K22" s="212"/>
      <c r="L22" s="212"/>
      <c r="M22" s="212"/>
      <c r="N22" s="275"/>
      <c r="O22" s="306"/>
      <c r="P22" s="307"/>
      <c r="Q22" s="307"/>
      <c r="R22" s="308"/>
      <c r="S22" s="4"/>
    </row>
    <row r="23" spans="1:19" ht="15" customHeight="1" thickBot="1" x14ac:dyDescent="0.4">
      <c r="A23" s="4"/>
      <c r="B23" s="295"/>
      <c r="C23" s="298"/>
      <c r="D23" s="298"/>
      <c r="E23" s="298"/>
      <c r="F23" s="298"/>
      <c r="G23" s="107"/>
      <c r="H23" s="279"/>
      <c r="I23" s="107"/>
      <c r="J23" s="272"/>
      <c r="K23" s="273"/>
      <c r="L23" s="273"/>
      <c r="M23" s="273"/>
      <c r="N23" s="276"/>
      <c r="O23" s="309"/>
      <c r="P23" s="310"/>
      <c r="Q23" s="310"/>
      <c r="R23" s="311"/>
      <c r="S23" s="4"/>
    </row>
    <row r="24" spans="1:19" ht="9.9499999999999993" customHeight="1" thickTop="1" thickBot="1" x14ac:dyDescent="0.4">
      <c r="A24" s="15"/>
      <c r="B24" s="107"/>
      <c r="C24" s="132"/>
      <c r="D24" s="132"/>
      <c r="E24" s="107"/>
      <c r="F24" s="107"/>
      <c r="G24" s="107"/>
      <c r="H24" s="107"/>
      <c r="I24" s="107"/>
      <c r="J24" s="107"/>
      <c r="K24" s="107"/>
      <c r="L24" s="107"/>
      <c r="M24" s="107"/>
      <c r="N24" s="107"/>
      <c r="O24" s="107"/>
      <c r="P24" s="107"/>
      <c r="Q24" s="107"/>
      <c r="R24" s="133"/>
      <c r="S24" s="4"/>
    </row>
    <row r="25" spans="1:19" ht="22.5" thickTop="1" thickBot="1" x14ac:dyDescent="0.4">
      <c r="A25" s="15"/>
      <c r="B25" s="289" t="s">
        <v>15</v>
      </c>
      <c r="C25" s="290"/>
      <c r="D25" s="181" t="s">
        <v>14</v>
      </c>
      <c r="E25" s="182"/>
      <c r="F25" s="183" t="s">
        <v>16</v>
      </c>
      <c r="G25" s="182"/>
      <c r="H25" s="183" t="s">
        <v>142</v>
      </c>
      <c r="I25" s="134"/>
      <c r="J25" s="291" t="s">
        <v>77</v>
      </c>
      <c r="K25" s="292"/>
      <c r="L25" s="135"/>
      <c r="M25" s="291" t="s">
        <v>78</v>
      </c>
      <c r="N25" s="292"/>
      <c r="O25" s="135"/>
      <c r="P25" s="183" t="s">
        <v>2</v>
      </c>
      <c r="Q25" s="135"/>
      <c r="R25" s="183" t="s">
        <v>60</v>
      </c>
      <c r="S25" s="4"/>
    </row>
    <row r="26" spans="1:19" ht="9.9499999999999993" customHeight="1" thickTop="1" x14ac:dyDescent="0.35">
      <c r="A26" s="15"/>
      <c r="B26" s="107"/>
      <c r="C26" s="136"/>
      <c r="D26" s="136"/>
      <c r="E26" s="107"/>
      <c r="F26" s="133"/>
      <c r="G26" s="107"/>
      <c r="H26" s="133"/>
      <c r="I26" s="107"/>
      <c r="J26" s="107"/>
      <c r="K26" s="107"/>
      <c r="L26" s="136"/>
      <c r="M26" s="107"/>
      <c r="N26" s="107"/>
      <c r="O26" s="136"/>
      <c r="P26" s="107"/>
      <c r="Q26" s="107"/>
      <c r="R26" s="107"/>
      <c r="S26" s="4"/>
    </row>
    <row r="27" spans="1:19" ht="84" x14ac:dyDescent="0.35">
      <c r="A27" s="15"/>
      <c r="B27" s="112">
        <v>1</v>
      </c>
      <c r="C27" s="160" t="s">
        <v>104</v>
      </c>
      <c r="D27" s="110" t="s">
        <v>85</v>
      </c>
      <c r="E27" s="107"/>
      <c r="F27" s="108">
        <v>1</v>
      </c>
      <c r="G27" s="107"/>
      <c r="H27" s="122">
        <f>P27*$O$21</f>
        <v>440.00000000000006</v>
      </c>
      <c r="I27" s="107"/>
      <c r="J27" s="123">
        <f>280+120</f>
        <v>400</v>
      </c>
      <c r="K27" s="124">
        <f t="shared" ref="K27:K36" si="5">$J27*$F27</f>
        <v>400</v>
      </c>
      <c r="L27" s="125"/>
      <c r="M27" s="149"/>
      <c r="N27" s="124">
        <f t="shared" ref="N27:N36" si="6">$M27*$F27</f>
        <v>0</v>
      </c>
      <c r="O27" s="125"/>
      <c r="P27" s="126">
        <f>N27+K27</f>
        <v>400</v>
      </c>
      <c r="Q27" s="107"/>
      <c r="R27" s="126">
        <f>H27-P27</f>
        <v>40.000000000000057</v>
      </c>
      <c r="S27" s="4"/>
    </row>
    <row r="28" spans="1:19" ht="63" x14ac:dyDescent="0.35">
      <c r="A28" s="15"/>
      <c r="B28" s="112">
        <v>2</v>
      </c>
      <c r="C28" s="160" t="s">
        <v>107</v>
      </c>
      <c r="D28" s="110" t="s">
        <v>85</v>
      </c>
      <c r="E28" s="107"/>
      <c r="F28" s="108">
        <v>1</v>
      </c>
      <c r="G28" s="107"/>
      <c r="H28" s="122">
        <f t="shared" ref="H28:H36" si="7">P28*$O$21</f>
        <v>770.00000000000011</v>
      </c>
      <c r="I28" s="107"/>
      <c r="J28" s="123">
        <v>700</v>
      </c>
      <c r="K28" s="124">
        <f t="shared" si="5"/>
        <v>700</v>
      </c>
      <c r="L28" s="125"/>
      <c r="M28" s="149"/>
      <c r="N28" s="124">
        <f t="shared" si="6"/>
        <v>0</v>
      </c>
      <c r="O28" s="125"/>
      <c r="P28" s="126">
        <f t="shared" ref="P28:P36" si="8">N28+K28</f>
        <v>700</v>
      </c>
      <c r="Q28" s="107"/>
      <c r="R28" s="126">
        <f t="shared" ref="R28:R36" si="9">H28-P28</f>
        <v>70.000000000000114</v>
      </c>
      <c r="S28" s="4"/>
    </row>
    <row r="29" spans="1:19" ht="63" x14ac:dyDescent="0.35">
      <c r="A29" s="15"/>
      <c r="B29" s="112">
        <v>3</v>
      </c>
      <c r="C29" s="160" t="s">
        <v>106</v>
      </c>
      <c r="D29" s="110" t="s">
        <v>85</v>
      </c>
      <c r="E29" s="107"/>
      <c r="F29" s="108">
        <v>1</v>
      </c>
      <c r="G29" s="107"/>
      <c r="H29" s="122">
        <f>P29*$O$21</f>
        <v>264</v>
      </c>
      <c r="I29" s="107"/>
      <c r="J29" s="123">
        <f>150+90</f>
        <v>240</v>
      </c>
      <c r="K29" s="124">
        <f t="shared" si="5"/>
        <v>240</v>
      </c>
      <c r="L29" s="125"/>
      <c r="M29" s="149"/>
      <c r="N29" s="124">
        <f t="shared" si="6"/>
        <v>0</v>
      </c>
      <c r="O29" s="125"/>
      <c r="P29" s="126">
        <f t="shared" si="8"/>
        <v>240</v>
      </c>
      <c r="Q29" s="107"/>
      <c r="R29" s="126">
        <f t="shared" si="9"/>
        <v>24</v>
      </c>
      <c r="S29" s="4"/>
    </row>
    <row r="30" spans="1:19" ht="84" x14ac:dyDescent="0.35">
      <c r="A30" s="15"/>
      <c r="B30" s="112">
        <v>4</v>
      </c>
      <c r="C30" s="160" t="s">
        <v>108</v>
      </c>
      <c r="D30" s="110" t="s">
        <v>85</v>
      </c>
      <c r="E30" s="107"/>
      <c r="F30" s="108">
        <v>1</v>
      </c>
      <c r="G30" s="107"/>
      <c r="H30" s="122">
        <f t="shared" si="7"/>
        <v>264</v>
      </c>
      <c r="I30" s="107"/>
      <c r="J30" s="123">
        <f>150+90</f>
        <v>240</v>
      </c>
      <c r="K30" s="124">
        <f t="shared" si="5"/>
        <v>240</v>
      </c>
      <c r="L30" s="125"/>
      <c r="M30" s="149"/>
      <c r="N30" s="124">
        <f t="shared" si="6"/>
        <v>0</v>
      </c>
      <c r="O30" s="125"/>
      <c r="P30" s="126">
        <f t="shared" si="8"/>
        <v>240</v>
      </c>
      <c r="Q30" s="107"/>
      <c r="R30" s="126">
        <f t="shared" si="9"/>
        <v>24</v>
      </c>
      <c r="S30" s="4"/>
    </row>
    <row r="31" spans="1:19" ht="63" x14ac:dyDescent="0.35">
      <c r="A31" s="15"/>
      <c r="B31" s="112">
        <v>5</v>
      </c>
      <c r="C31" s="160" t="s">
        <v>105</v>
      </c>
      <c r="D31" s="110" t="s">
        <v>85</v>
      </c>
      <c r="E31" s="107"/>
      <c r="F31" s="108">
        <v>1</v>
      </c>
      <c r="G31" s="107"/>
      <c r="H31" s="122">
        <f t="shared" si="7"/>
        <v>264</v>
      </c>
      <c r="I31" s="107"/>
      <c r="J31" s="123">
        <v>240</v>
      </c>
      <c r="K31" s="124">
        <f t="shared" si="5"/>
        <v>240</v>
      </c>
      <c r="L31" s="125"/>
      <c r="M31" s="149"/>
      <c r="N31" s="124">
        <f t="shared" si="6"/>
        <v>0</v>
      </c>
      <c r="O31" s="125"/>
      <c r="P31" s="126">
        <f t="shared" si="8"/>
        <v>240</v>
      </c>
      <c r="Q31" s="107"/>
      <c r="R31" s="126">
        <f t="shared" si="9"/>
        <v>24</v>
      </c>
      <c r="S31" s="4"/>
    </row>
    <row r="32" spans="1:19" ht="21" x14ac:dyDescent="0.35">
      <c r="A32" s="15"/>
      <c r="B32" s="112">
        <v>6</v>
      </c>
      <c r="C32" s="109"/>
      <c r="D32" s="110"/>
      <c r="E32" s="107"/>
      <c r="F32" s="108"/>
      <c r="G32" s="107"/>
      <c r="H32" s="122">
        <f t="shared" si="7"/>
        <v>0</v>
      </c>
      <c r="I32" s="107"/>
      <c r="J32" s="123"/>
      <c r="K32" s="124">
        <f t="shared" si="5"/>
        <v>0</v>
      </c>
      <c r="L32" s="125"/>
      <c r="M32" s="149"/>
      <c r="N32" s="124">
        <f t="shared" si="6"/>
        <v>0</v>
      </c>
      <c r="O32" s="125"/>
      <c r="P32" s="126">
        <f t="shared" si="8"/>
        <v>0</v>
      </c>
      <c r="Q32" s="107"/>
      <c r="R32" s="126">
        <f t="shared" si="9"/>
        <v>0</v>
      </c>
      <c r="S32" s="4"/>
    </row>
    <row r="33" spans="1:19" ht="21" x14ac:dyDescent="0.35">
      <c r="A33" s="15"/>
      <c r="B33" s="112">
        <v>7</v>
      </c>
      <c r="C33" s="160"/>
      <c r="D33" s="110"/>
      <c r="E33" s="107"/>
      <c r="F33" s="108"/>
      <c r="G33" s="107"/>
      <c r="H33" s="122">
        <f t="shared" si="7"/>
        <v>0</v>
      </c>
      <c r="I33" s="107"/>
      <c r="J33" s="123"/>
      <c r="K33" s="124">
        <f t="shared" si="5"/>
        <v>0</v>
      </c>
      <c r="L33" s="125"/>
      <c r="M33" s="123"/>
      <c r="N33" s="124">
        <f t="shared" si="6"/>
        <v>0</v>
      </c>
      <c r="O33" s="125"/>
      <c r="P33" s="126">
        <f t="shared" si="8"/>
        <v>0</v>
      </c>
      <c r="Q33" s="107"/>
      <c r="R33" s="126">
        <f t="shared" si="9"/>
        <v>0</v>
      </c>
      <c r="S33" s="4"/>
    </row>
    <row r="34" spans="1:19" ht="21" x14ac:dyDescent="0.35">
      <c r="A34" s="15"/>
      <c r="B34" s="112">
        <v>8</v>
      </c>
      <c r="C34" s="160"/>
      <c r="D34" s="110"/>
      <c r="E34" s="107"/>
      <c r="F34" s="108"/>
      <c r="G34" s="107"/>
      <c r="H34" s="122">
        <f t="shared" si="7"/>
        <v>0</v>
      </c>
      <c r="I34" s="107"/>
      <c r="J34" s="123"/>
      <c r="K34" s="124">
        <f t="shared" si="5"/>
        <v>0</v>
      </c>
      <c r="L34" s="125"/>
      <c r="M34" s="123"/>
      <c r="N34" s="124">
        <f t="shared" si="6"/>
        <v>0</v>
      </c>
      <c r="O34" s="125"/>
      <c r="P34" s="126">
        <f t="shared" si="8"/>
        <v>0</v>
      </c>
      <c r="Q34" s="107"/>
      <c r="R34" s="126">
        <f t="shared" si="9"/>
        <v>0</v>
      </c>
      <c r="S34" s="4"/>
    </row>
    <row r="35" spans="1:19" ht="21" x14ac:dyDescent="0.35">
      <c r="A35" s="15"/>
      <c r="B35" s="112">
        <v>9</v>
      </c>
      <c r="C35" s="160"/>
      <c r="D35" s="110"/>
      <c r="E35" s="107"/>
      <c r="F35" s="108"/>
      <c r="G35" s="107"/>
      <c r="H35" s="122">
        <f t="shared" si="7"/>
        <v>0</v>
      </c>
      <c r="I35" s="107"/>
      <c r="J35" s="123"/>
      <c r="K35" s="124">
        <f t="shared" si="5"/>
        <v>0</v>
      </c>
      <c r="L35" s="125"/>
      <c r="M35" s="123"/>
      <c r="N35" s="124">
        <f t="shared" si="6"/>
        <v>0</v>
      </c>
      <c r="O35" s="125"/>
      <c r="P35" s="126">
        <f t="shared" si="8"/>
        <v>0</v>
      </c>
      <c r="Q35" s="107"/>
      <c r="R35" s="126">
        <f t="shared" si="9"/>
        <v>0</v>
      </c>
      <c r="S35" s="4"/>
    </row>
    <row r="36" spans="1:19" ht="21" x14ac:dyDescent="0.35">
      <c r="A36" s="15"/>
      <c r="B36" s="112">
        <v>10</v>
      </c>
      <c r="C36" s="160"/>
      <c r="D36" s="110"/>
      <c r="E36" s="107"/>
      <c r="F36" s="108"/>
      <c r="G36" s="107"/>
      <c r="H36" s="122">
        <f t="shared" si="7"/>
        <v>0</v>
      </c>
      <c r="I36" s="107"/>
      <c r="J36" s="123"/>
      <c r="K36" s="124">
        <f t="shared" si="5"/>
        <v>0</v>
      </c>
      <c r="L36" s="125"/>
      <c r="M36" s="123"/>
      <c r="N36" s="124">
        <f t="shared" si="6"/>
        <v>0</v>
      </c>
      <c r="O36" s="125"/>
      <c r="P36" s="126">
        <f t="shared" si="8"/>
        <v>0</v>
      </c>
      <c r="Q36" s="107"/>
      <c r="R36" s="126">
        <f t="shared" si="9"/>
        <v>0</v>
      </c>
      <c r="S36" s="4"/>
    </row>
    <row r="37" spans="1:19" ht="9.9499999999999993" customHeight="1" thickBot="1" x14ac:dyDescent="0.4">
      <c r="A37" s="15"/>
      <c r="B37" s="107"/>
      <c r="C37" s="251"/>
      <c r="D37" s="251"/>
      <c r="E37" s="107"/>
      <c r="F37" s="107"/>
      <c r="G37" s="107"/>
      <c r="H37" s="137"/>
      <c r="I37" s="107"/>
      <c r="J37" s="151"/>
      <c r="K37" s="151"/>
      <c r="L37" s="139"/>
      <c r="M37" s="151"/>
      <c r="N37" s="151"/>
      <c r="O37" s="139"/>
      <c r="P37" s="140"/>
      <c r="Q37" s="107"/>
      <c r="R37" s="141"/>
      <c r="S37" s="4"/>
    </row>
    <row r="38" spans="1:19" ht="22.5" thickTop="1" thickBot="1" x14ac:dyDescent="0.4">
      <c r="A38" s="15"/>
      <c r="B38" s="226" t="s">
        <v>17</v>
      </c>
      <c r="C38" s="227"/>
      <c r="D38" s="228"/>
      <c r="E38" s="133"/>
      <c r="F38" s="142">
        <f>Obra_Carpintería_M*$O$21</f>
        <v>2002.0000000000002</v>
      </c>
      <c r="G38" s="107"/>
      <c r="H38" s="184">
        <f>SUM(H27:H36)</f>
        <v>2002.0000000000002</v>
      </c>
      <c r="I38" s="107"/>
      <c r="J38" s="143" t="s">
        <v>79</v>
      </c>
      <c r="K38" s="144">
        <f>SUM(K27:K36)</f>
        <v>1820</v>
      </c>
      <c r="L38" s="145"/>
      <c r="M38" s="143" t="s">
        <v>80</v>
      </c>
      <c r="N38" s="144">
        <f>SUM(N27:N36)</f>
        <v>0</v>
      </c>
      <c r="O38" s="146"/>
      <c r="P38" s="147">
        <f>SUM(P27:P36)</f>
        <v>1820</v>
      </c>
      <c r="Q38" s="107"/>
      <c r="R38" s="147">
        <f>SUM(R27:R36)</f>
        <v>182.00000000000017</v>
      </c>
      <c r="S38" s="4"/>
    </row>
    <row r="39" spans="1:19" ht="20.25" thickTop="1" x14ac:dyDescent="0.3">
      <c r="A39" s="7"/>
      <c r="B39" s="89"/>
      <c r="C39" s="89"/>
      <c r="D39" s="89"/>
      <c r="E39" s="89"/>
      <c r="F39" s="89"/>
      <c r="G39" s="7"/>
      <c r="H39" s="7"/>
      <c r="I39" s="7"/>
      <c r="J39" s="7"/>
      <c r="K39" s="7"/>
      <c r="L39" s="7"/>
      <c r="M39" s="7"/>
      <c r="N39" s="7"/>
      <c r="O39" s="7"/>
      <c r="P39" s="7"/>
      <c r="Q39" s="7"/>
      <c r="R39" s="4"/>
      <c r="S39" s="4"/>
    </row>
  </sheetData>
  <mergeCells count="22">
    <mergeCell ref="O2:R4"/>
    <mergeCell ref="O21:R23"/>
    <mergeCell ref="B25:C25"/>
    <mergeCell ref="J25:K25"/>
    <mergeCell ref="M25:N25"/>
    <mergeCell ref="B21:B23"/>
    <mergeCell ref="C21:F23"/>
    <mergeCell ref="J6:K6"/>
    <mergeCell ref="M6:N6"/>
    <mergeCell ref="B2:B4"/>
    <mergeCell ref="C2:F4"/>
    <mergeCell ref="C18:D18"/>
    <mergeCell ref="B19:D19"/>
    <mergeCell ref="B6:C6"/>
    <mergeCell ref="B38:D38"/>
    <mergeCell ref="J2:M4"/>
    <mergeCell ref="N2:N4"/>
    <mergeCell ref="J21:M23"/>
    <mergeCell ref="N21:N23"/>
    <mergeCell ref="C37:D37"/>
    <mergeCell ref="H2:H4"/>
    <mergeCell ref="H21:H23"/>
  </mergeCells>
  <printOptions horizontalCentered="1"/>
  <pageMargins left="0.39370078740157483" right="0.39370078740157483" top="0.74803149606299213" bottom="0.74803149606299213" header="0.31496062992125984" footer="0.31496062992125984"/>
  <pageSetup paperSize="9" scale="76" fitToHeight="0" orientation="portrait" r:id="rId1"/>
  <rowBreaks count="1" manualBreakCount="1">
    <brk id="20"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9"/>
  <sheetViews>
    <sheetView view="pageBreakPreview" zoomScale="70" zoomScaleNormal="55" zoomScaleSheetLayoutView="70" workbookViewId="0">
      <selection activeCell="I1" sqref="I1:I1048576"/>
    </sheetView>
  </sheetViews>
  <sheetFormatPr baseColWidth="10" defaultColWidth="11.42578125" defaultRowHeight="16.5" x14ac:dyDescent="0.3"/>
  <cols>
    <col min="1" max="1" width="7.140625" style="5" customWidth="1"/>
    <col min="2" max="2" width="11.42578125" style="5"/>
    <col min="3" max="3" width="70.85546875" style="5" customWidth="1"/>
    <col min="4" max="4" width="15.42578125" style="5" bestFit="1" customWidth="1"/>
    <col min="5" max="5" width="3.5703125" style="5" customWidth="1"/>
    <col min="6" max="6" width="23.710937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31"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21" width="11.42578125" style="5"/>
    <col min="22" max="22" width="12.42578125" style="5" bestFit="1" customWidth="1"/>
    <col min="23"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10</v>
      </c>
      <c r="C2" s="296" t="s">
        <v>34</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63" x14ac:dyDescent="0.35">
      <c r="A8" s="15"/>
      <c r="B8" s="112">
        <v>1</v>
      </c>
      <c r="C8" s="109" t="s">
        <v>184</v>
      </c>
      <c r="D8" s="110" t="s">
        <v>84</v>
      </c>
      <c r="E8" s="107"/>
      <c r="F8" s="108">
        <v>1</v>
      </c>
      <c r="G8" s="107"/>
      <c r="H8" s="122">
        <f>P8*$O$2</f>
        <v>4294.4000000000005</v>
      </c>
      <c r="I8" s="107"/>
      <c r="J8" s="149">
        <v>600</v>
      </c>
      <c r="K8" s="124">
        <f t="shared" ref="K8:K17" si="0">$J8*$F8</f>
        <v>600</v>
      </c>
      <c r="L8" s="125"/>
      <c r="M8" s="149">
        <f>(4160-(M27+M28+M29+M30+M31))+99</f>
        <v>3304</v>
      </c>
      <c r="N8" s="124">
        <f t="shared" ref="N8:N17" si="1">$M8*$F8</f>
        <v>3304</v>
      </c>
      <c r="O8" s="125"/>
      <c r="P8" s="126">
        <f>N8+K8</f>
        <v>3904</v>
      </c>
      <c r="Q8" s="125"/>
      <c r="R8" s="126">
        <f>H8-P8</f>
        <v>390.40000000000055</v>
      </c>
      <c r="S8" s="15"/>
    </row>
    <row r="9" spans="1:19" s="16" customFormat="1" ht="42" x14ac:dyDescent="0.35">
      <c r="A9" s="15"/>
      <c r="B9" s="112">
        <v>2</v>
      </c>
      <c r="C9" s="109" t="s">
        <v>151</v>
      </c>
      <c r="D9" s="110" t="s">
        <v>85</v>
      </c>
      <c r="E9" s="107"/>
      <c r="F9" s="108">
        <v>1</v>
      </c>
      <c r="G9" s="107"/>
      <c r="H9" s="122">
        <f>P9*$O$2</f>
        <v>498.30000000000007</v>
      </c>
      <c r="I9" s="107"/>
      <c r="J9" s="123">
        <v>25</v>
      </c>
      <c r="K9" s="124">
        <f t="shared" si="0"/>
        <v>25</v>
      </c>
      <c r="L9" s="125"/>
      <c r="M9" s="123">
        <f>329+20+79</f>
        <v>428</v>
      </c>
      <c r="N9" s="124">
        <f t="shared" si="1"/>
        <v>428</v>
      </c>
      <c r="O9" s="125"/>
      <c r="P9" s="126">
        <f t="shared" ref="P9:P17" si="2">N9+K9</f>
        <v>453</v>
      </c>
      <c r="Q9" s="125"/>
      <c r="R9" s="126">
        <f t="shared" ref="R9:R17" si="3">H9-P9</f>
        <v>45.300000000000068</v>
      </c>
      <c r="S9" s="15"/>
    </row>
    <row r="10" spans="1:19" s="16" customFormat="1" ht="42" x14ac:dyDescent="0.35">
      <c r="A10" s="15"/>
      <c r="B10" s="112">
        <v>3</v>
      </c>
      <c r="C10" s="109" t="s">
        <v>146</v>
      </c>
      <c r="D10" s="110" t="s">
        <v>85</v>
      </c>
      <c r="E10" s="107"/>
      <c r="F10" s="108">
        <v>1</v>
      </c>
      <c r="G10" s="107"/>
      <c r="H10" s="122">
        <f t="shared" ref="H10:H17" si="4">P10*$O$2</f>
        <v>220.00000000000003</v>
      </c>
      <c r="I10" s="107"/>
      <c r="J10" s="123">
        <v>200</v>
      </c>
      <c r="K10" s="124">
        <f t="shared" si="0"/>
        <v>200</v>
      </c>
      <c r="L10" s="125"/>
      <c r="M10" s="123"/>
      <c r="N10" s="124">
        <f t="shared" si="1"/>
        <v>0</v>
      </c>
      <c r="O10" s="125"/>
      <c r="P10" s="126">
        <f t="shared" si="2"/>
        <v>200</v>
      </c>
      <c r="Q10" s="125"/>
      <c r="R10" s="126">
        <f t="shared" si="3"/>
        <v>20.000000000000028</v>
      </c>
      <c r="S10" s="15"/>
    </row>
    <row r="11" spans="1:19" s="16" customFormat="1" ht="84" x14ac:dyDescent="0.35">
      <c r="A11" s="15"/>
      <c r="B11" s="112">
        <v>4</v>
      </c>
      <c r="C11" s="120" t="s">
        <v>150</v>
      </c>
      <c r="D11" s="130" t="s">
        <v>85</v>
      </c>
      <c r="E11" s="159"/>
      <c r="F11" s="108">
        <v>1</v>
      </c>
      <c r="G11" s="107"/>
      <c r="H11" s="122">
        <f t="shared" si="4"/>
        <v>347.05</v>
      </c>
      <c r="I11" s="107"/>
      <c r="J11" s="123">
        <v>25</v>
      </c>
      <c r="K11" s="124">
        <f t="shared" si="0"/>
        <v>25</v>
      </c>
      <c r="L11" s="125"/>
      <c r="M11" s="123">
        <v>290.5</v>
      </c>
      <c r="N11" s="124">
        <f t="shared" si="1"/>
        <v>290.5</v>
      </c>
      <c r="O11" s="125"/>
      <c r="P11" s="126">
        <f t="shared" si="2"/>
        <v>315.5</v>
      </c>
      <c r="Q11" s="125"/>
      <c r="R11" s="126">
        <f t="shared" si="3"/>
        <v>31.550000000000011</v>
      </c>
      <c r="S11" s="15"/>
    </row>
    <row r="12" spans="1:19" s="16" customFormat="1" ht="42" x14ac:dyDescent="0.35">
      <c r="A12" s="15"/>
      <c r="B12" s="112">
        <v>5</v>
      </c>
      <c r="C12" s="120" t="s">
        <v>149</v>
      </c>
      <c r="D12" s="110" t="s">
        <v>85</v>
      </c>
      <c r="E12" s="107"/>
      <c r="F12" s="108">
        <v>1</v>
      </c>
      <c r="G12" s="107"/>
      <c r="H12" s="122">
        <f t="shared" si="4"/>
        <v>293.70000000000005</v>
      </c>
      <c r="I12" s="107"/>
      <c r="J12" s="123">
        <v>25</v>
      </c>
      <c r="K12" s="124">
        <f t="shared" si="0"/>
        <v>25</v>
      </c>
      <c r="L12" s="125"/>
      <c r="M12" s="123">
        <f>200*1.21</f>
        <v>242</v>
      </c>
      <c r="N12" s="124">
        <f t="shared" si="1"/>
        <v>242</v>
      </c>
      <c r="O12" s="125"/>
      <c r="P12" s="126">
        <f t="shared" si="2"/>
        <v>267</v>
      </c>
      <c r="Q12" s="125"/>
      <c r="R12" s="126">
        <f t="shared" si="3"/>
        <v>26.700000000000045</v>
      </c>
      <c r="S12" s="15"/>
    </row>
    <row r="13" spans="1:19" s="16" customFormat="1" ht="42" x14ac:dyDescent="0.35">
      <c r="A13" s="15"/>
      <c r="B13" s="112">
        <v>6</v>
      </c>
      <c r="C13" s="109" t="s">
        <v>152</v>
      </c>
      <c r="D13" s="110" t="s">
        <v>84</v>
      </c>
      <c r="E13" s="107"/>
      <c r="F13" s="108">
        <v>1</v>
      </c>
      <c r="G13" s="107"/>
      <c r="H13" s="122">
        <f t="shared" si="4"/>
        <v>77</v>
      </c>
      <c r="I13" s="107"/>
      <c r="J13" s="123">
        <v>10</v>
      </c>
      <c r="K13" s="124">
        <f t="shared" si="0"/>
        <v>10</v>
      </c>
      <c r="L13" s="125"/>
      <c r="M13" s="123">
        <v>60</v>
      </c>
      <c r="N13" s="124">
        <f t="shared" si="1"/>
        <v>60</v>
      </c>
      <c r="O13" s="125"/>
      <c r="P13" s="126">
        <f t="shared" si="2"/>
        <v>70</v>
      </c>
      <c r="Q13" s="125"/>
      <c r="R13" s="126">
        <f t="shared" si="3"/>
        <v>7</v>
      </c>
      <c r="S13" s="15"/>
    </row>
    <row r="14" spans="1:19" s="16" customFormat="1" ht="20.100000000000001" customHeight="1" x14ac:dyDescent="0.35">
      <c r="A14" s="15"/>
      <c r="B14" s="112">
        <v>7</v>
      </c>
      <c r="C14" s="109"/>
      <c r="D14" s="110"/>
      <c r="E14" s="107"/>
      <c r="F14" s="108"/>
      <c r="G14" s="107"/>
      <c r="H14" s="122">
        <f t="shared" si="4"/>
        <v>0</v>
      </c>
      <c r="I14" s="107"/>
      <c r="J14" s="123"/>
      <c r="K14" s="124">
        <f t="shared" si="0"/>
        <v>0</v>
      </c>
      <c r="L14" s="125"/>
      <c r="M14" s="123"/>
      <c r="N14" s="124">
        <f t="shared" si="1"/>
        <v>0</v>
      </c>
      <c r="O14" s="125"/>
      <c r="P14" s="126">
        <f t="shared" si="2"/>
        <v>0</v>
      </c>
      <c r="Q14" s="125"/>
      <c r="R14" s="126">
        <f t="shared" si="3"/>
        <v>0</v>
      </c>
      <c r="S14" s="15"/>
    </row>
    <row r="15" spans="1:19" s="16" customFormat="1" ht="20.100000000000001" customHeight="1" x14ac:dyDescent="0.35">
      <c r="A15" s="15"/>
      <c r="B15" s="112">
        <v>8</v>
      </c>
      <c r="C15" s="109"/>
      <c r="D15" s="110"/>
      <c r="E15" s="107"/>
      <c r="F15" s="108"/>
      <c r="G15" s="107"/>
      <c r="H15" s="122">
        <f t="shared" si="4"/>
        <v>0</v>
      </c>
      <c r="I15" s="107"/>
      <c r="J15" s="123"/>
      <c r="K15" s="124">
        <f t="shared" si="0"/>
        <v>0</v>
      </c>
      <c r="L15" s="125"/>
      <c r="M15" s="123"/>
      <c r="N15" s="124">
        <f t="shared" si="1"/>
        <v>0</v>
      </c>
      <c r="O15" s="125"/>
      <c r="P15" s="126">
        <f t="shared" si="2"/>
        <v>0</v>
      </c>
      <c r="Q15" s="125"/>
      <c r="R15" s="126">
        <f t="shared" si="3"/>
        <v>0</v>
      </c>
      <c r="S15" s="15"/>
    </row>
    <row r="16" spans="1:19" s="16" customFormat="1" ht="20.100000000000001" customHeight="1" x14ac:dyDescent="0.35">
      <c r="A16" s="15"/>
      <c r="B16" s="112">
        <v>9</v>
      </c>
      <c r="C16" s="109"/>
      <c r="D16" s="110"/>
      <c r="E16" s="107"/>
      <c r="F16" s="108"/>
      <c r="G16" s="107"/>
      <c r="H16" s="122">
        <f t="shared" si="4"/>
        <v>0</v>
      </c>
      <c r="I16" s="107"/>
      <c r="J16" s="123"/>
      <c r="K16" s="124">
        <f t="shared" si="0"/>
        <v>0</v>
      </c>
      <c r="L16" s="125"/>
      <c r="M16" s="123"/>
      <c r="N16" s="124">
        <f t="shared" si="1"/>
        <v>0</v>
      </c>
      <c r="O16" s="125"/>
      <c r="P16" s="126">
        <f t="shared" si="2"/>
        <v>0</v>
      </c>
      <c r="Q16" s="125"/>
      <c r="R16" s="126">
        <f t="shared" si="3"/>
        <v>0</v>
      </c>
      <c r="S16" s="15"/>
    </row>
    <row r="17" spans="1:22" s="16" customFormat="1" ht="20.100000000000001" customHeight="1" x14ac:dyDescent="0.35">
      <c r="A17" s="15"/>
      <c r="B17" s="112">
        <v>10</v>
      </c>
      <c r="C17" s="109"/>
      <c r="D17" s="110"/>
      <c r="E17" s="107"/>
      <c r="F17" s="108"/>
      <c r="G17" s="107"/>
      <c r="H17" s="122">
        <f t="shared" si="4"/>
        <v>0</v>
      </c>
      <c r="I17" s="107"/>
      <c r="J17" s="123"/>
      <c r="K17" s="124">
        <f t="shared" si="0"/>
        <v>0</v>
      </c>
      <c r="L17" s="125"/>
      <c r="M17" s="123"/>
      <c r="N17" s="124">
        <f t="shared" si="1"/>
        <v>0</v>
      </c>
      <c r="O17" s="125"/>
      <c r="P17" s="126">
        <f t="shared" si="2"/>
        <v>0</v>
      </c>
      <c r="Q17" s="125"/>
      <c r="R17" s="126">
        <f t="shared" si="3"/>
        <v>0</v>
      </c>
      <c r="S17" s="15"/>
    </row>
    <row r="18" spans="1:22" s="16" customFormat="1" ht="9.9499999999999993" customHeight="1" thickBot="1" x14ac:dyDescent="0.4">
      <c r="A18" s="15"/>
      <c r="B18" s="107"/>
      <c r="C18" s="251"/>
      <c r="D18" s="251"/>
      <c r="E18" s="107"/>
      <c r="F18" s="107"/>
      <c r="G18" s="107"/>
      <c r="H18" s="137"/>
      <c r="I18" s="107"/>
      <c r="J18" s="151"/>
      <c r="K18" s="151"/>
      <c r="L18" s="139"/>
      <c r="M18" s="151"/>
      <c r="N18" s="151"/>
      <c r="O18" s="139"/>
      <c r="P18" s="140"/>
      <c r="Q18" s="139"/>
      <c r="R18" s="141"/>
      <c r="S18" s="15"/>
    </row>
    <row r="19" spans="1:22" s="16" customFormat="1" ht="21" customHeight="1" thickTop="1" thickBot="1" x14ac:dyDescent="0.4">
      <c r="A19" s="15"/>
      <c r="B19" s="226" t="s">
        <v>17</v>
      </c>
      <c r="C19" s="227"/>
      <c r="D19" s="228"/>
      <c r="E19" s="133"/>
      <c r="F19" s="142">
        <f>Obra_Mobiliario*$O$2</f>
        <v>5730.4500000000007</v>
      </c>
      <c r="G19" s="107"/>
      <c r="H19" s="184">
        <f>SUM(H8:H17)</f>
        <v>5730.4500000000007</v>
      </c>
      <c r="I19" s="107"/>
      <c r="J19" s="143" t="s">
        <v>79</v>
      </c>
      <c r="K19" s="144">
        <f>SUM(K8:K17)</f>
        <v>885</v>
      </c>
      <c r="L19" s="145"/>
      <c r="M19" s="143" t="s">
        <v>80</v>
      </c>
      <c r="N19" s="144">
        <f>SUM(N8:N17)</f>
        <v>4324.5</v>
      </c>
      <c r="O19" s="146"/>
      <c r="P19" s="147">
        <f>SUM(P8:P18)</f>
        <v>5209.5</v>
      </c>
      <c r="Q19" s="146"/>
      <c r="R19" s="147">
        <f>SUM(R8:R17)</f>
        <v>520.95000000000073</v>
      </c>
      <c r="S19" s="15"/>
    </row>
    <row r="20" spans="1:22" ht="9.9499999999999993" customHeight="1" thickTop="1" thickBot="1" x14ac:dyDescent="0.4">
      <c r="A20" s="7"/>
      <c r="B20" s="312"/>
      <c r="C20" s="312"/>
      <c r="D20" s="312"/>
      <c r="E20" s="312"/>
      <c r="F20" s="312"/>
      <c r="G20" s="107"/>
      <c r="H20" s="107"/>
      <c r="I20" s="107"/>
      <c r="J20" s="107"/>
      <c r="K20" s="107"/>
      <c r="L20" s="107"/>
      <c r="M20" s="107"/>
      <c r="N20" s="107"/>
      <c r="O20" s="107"/>
      <c r="P20" s="107"/>
      <c r="Q20" s="107"/>
      <c r="R20" s="133"/>
      <c r="S20" s="4"/>
    </row>
    <row r="21" spans="1:22" ht="15" customHeight="1" thickTop="1" x14ac:dyDescent="0.35">
      <c r="A21" s="4"/>
      <c r="B21" s="293" t="s">
        <v>11</v>
      </c>
      <c r="C21" s="296" t="s">
        <v>36</v>
      </c>
      <c r="D21" s="296"/>
      <c r="E21" s="296"/>
      <c r="F21" s="296"/>
      <c r="G21" s="107"/>
      <c r="H21" s="277"/>
      <c r="I21" s="107"/>
      <c r="J21" s="269" t="s">
        <v>76</v>
      </c>
      <c r="K21" s="270"/>
      <c r="L21" s="270"/>
      <c r="M21" s="270"/>
      <c r="N21" s="274" t="s">
        <v>60</v>
      </c>
      <c r="O21" s="303">
        <f>B.I._10</f>
        <v>1.1000000000000001</v>
      </c>
      <c r="P21" s="304"/>
      <c r="Q21" s="304"/>
      <c r="R21" s="305"/>
      <c r="S21" s="4"/>
    </row>
    <row r="22" spans="1:22" ht="15" customHeight="1" x14ac:dyDescent="0.35">
      <c r="A22" s="4"/>
      <c r="B22" s="294"/>
      <c r="C22" s="297"/>
      <c r="D22" s="297"/>
      <c r="E22" s="297"/>
      <c r="F22" s="297"/>
      <c r="G22" s="107"/>
      <c r="H22" s="278"/>
      <c r="I22" s="107"/>
      <c r="J22" s="271"/>
      <c r="K22" s="212"/>
      <c r="L22" s="212"/>
      <c r="M22" s="212"/>
      <c r="N22" s="275"/>
      <c r="O22" s="306"/>
      <c r="P22" s="307"/>
      <c r="Q22" s="307"/>
      <c r="R22" s="308"/>
      <c r="S22" s="4"/>
    </row>
    <row r="23" spans="1:22" ht="15" customHeight="1" thickBot="1" x14ac:dyDescent="0.4">
      <c r="A23" s="4"/>
      <c r="B23" s="295"/>
      <c r="C23" s="298"/>
      <c r="D23" s="298"/>
      <c r="E23" s="298"/>
      <c r="F23" s="298"/>
      <c r="G23" s="107"/>
      <c r="H23" s="279"/>
      <c r="I23" s="107"/>
      <c r="J23" s="272"/>
      <c r="K23" s="273"/>
      <c r="L23" s="273"/>
      <c r="M23" s="273"/>
      <c r="N23" s="276"/>
      <c r="O23" s="309"/>
      <c r="P23" s="310"/>
      <c r="Q23" s="310"/>
      <c r="R23" s="311"/>
      <c r="S23" s="4"/>
    </row>
    <row r="24" spans="1:22" ht="9.9499999999999993" customHeight="1" thickTop="1" thickBot="1" x14ac:dyDescent="0.4">
      <c r="A24" s="15"/>
      <c r="B24" s="107"/>
      <c r="C24" s="132"/>
      <c r="D24" s="132"/>
      <c r="E24" s="107"/>
      <c r="F24" s="107"/>
      <c r="G24" s="107"/>
      <c r="H24" s="107"/>
      <c r="I24" s="107"/>
      <c r="J24" s="107"/>
      <c r="K24" s="107"/>
      <c r="L24" s="107"/>
      <c r="M24" s="107"/>
      <c r="N24" s="107"/>
      <c r="O24" s="107"/>
      <c r="P24" s="107"/>
      <c r="Q24" s="107"/>
      <c r="R24" s="133"/>
      <c r="S24" s="4"/>
    </row>
    <row r="25" spans="1:22" ht="22.5" thickTop="1" thickBot="1" x14ac:dyDescent="0.4">
      <c r="A25" s="15"/>
      <c r="B25" s="289" t="s">
        <v>15</v>
      </c>
      <c r="C25" s="290"/>
      <c r="D25" s="181" t="s">
        <v>14</v>
      </c>
      <c r="E25" s="182"/>
      <c r="F25" s="183" t="s">
        <v>16</v>
      </c>
      <c r="G25" s="182"/>
      <c r="H25" s="183" t="s">
        <v>142</v>
      </c>
      <c r="I25" s="134"/>
      <c r="J25" s="291" t="s">
        <v>77</v>
      </c>
      <c r="K25" s="292"/>
      <c r="L25" s="135"/>
      <c r="M25" s="291" t="s">
        <v>78</v>
      </c>
      <c r="N25" s="292"/>
      <c r="O25" s="135"/>
      <c r="P25" s="183" t="s">
        <v>2</v>
      </c>
      <c r="Q25" s="135"/>
      <c r="R25" s="183" t="s">
        <v>60</v>
      </c>
      <c r="S25" s="4"/>
    </row>
    <row r="26" spans="1:22" ht="9.9499999999999993" customHeight="1" thickTop="1" x14ac:dyDescent="0.35">
      <c r="A26" s="15"/>
      <c r="B26" s="107"/>
      <c r="C26" s="136"/>
      <c r="D26" s="136"/>
      <c r="E26" s="107"/>
      <c r="F26" s="133"/>
      <c r="G26" s="107"/>
      <c r="H26" s="133"/>
      <c r="I26" s="107"/>
      <c r="J26" s="107"/>
      <c r="K26" s="107"/>
      <c r="L26" s="136"/>
      <c r="M26" s="107"/>
      <c r="N26" s="107"/>
      <c r="O26" s="136"/>
      <c r="P26" s="107"/>
      <c r="Q26" s="107"/>
      <c r="R26" s="107"/>
      <c r="S26" s="4"/>
    </row>
    <row r="27" spans="1:22" ht="42" x14ac:dyDescent="0.35">
      <c r="A27" s="15"/>
      <c r="B27" s="112">
        <v>1</v>
      </c>
      <c r="C27" s="109" t="s">
        <v>153</v>
      </c>
      <c r="D27" s="110" t="s">
        <v>85</v>
      </c>
      <c r="E27" s="107"/>
      <c r="F27" s="108">
        <v>1</v>
      </c>
      <c r="G27" s="107"/>
      <c r="H27" s="122">
        <f>P27*$O$21</f>
        <v>229.9</v>
      </c>
      <c r="I27" s="107"/>
      <c r="J27" s="149">
        <v>10</v>
      </c>
      <c r="K27" s="124">
        <f t="shared" ref="K27:K36" si="5">$J27*$F27</f>
        <v>10</v>
      </c>
      <c r="L27" s="125"/>
      <c r="M27" s="149">
        <v>199</v>
      </c>
      <c r="N27" s="124">
        <f t="shared" ref="N27:N36" si="6">$M27*$F27</f>
        <v>199</v>
      </c>
      <c r="O27" s="125"/>
      <c r="P27" s="126">
        <f>N27+K27</f>
        <v>209</v>
      </c>
      <c r="Q27" s="107"/>
      <c r="R27" s="126">
        <f>H27-P27</f>
        <v>20.900000000000006</v>
      </c>
      <c r="S27" s="4"/>
    </row>
    <row r="28" spans="1:22" ht="42" x14ac:dyDescent="0.35">
      <c r="A28" s="15"/>
      <c r="B28" s="112">
        <v>2</v>
      </c>
      <c r="C28" s="109" t="s">
        <v>159</v>
      </c>
      <c r="D28" s="110" t="s">
        <v>85</v>
      </c>
      <c r="E28" s="107"/>
      <c r="F28" s="108">
        <v>1</v>
      </c>
      <c r="G28" s="107"/>
      <c r="H28" s="122">
        <f t="shared" ref="H28:H36" si="7">P28*$O$21</f>
        <v>185.9</v>
      </c>
      <c r="I28" s="107"/>
      <c r="J28" s="123">
        <v>10</v>
      </c>
      <c r="K28" s="124">
        <f t="shared" si="5"/>
        <v>10</v>
      </c>
      <c r="L28" s="125"/>
      <c r="M28" s="123">
        <v>159</v>
      </c>
      <c r="N28" s="124">
        <f t="shared" si="6"/>
        <v>159</v>
      </c>
      <c r="O28" s="125"/>
      <c r="P28" s="126">
        <f t="shared" ref="P28:P36" si="8">N28+K28</f>
        <v>169</v>
      </c>
      <c r="Q28" s="107"/>
      <c r="R28" s="126">
        <f t="shared" ref="R28:R36" si="9">H28-P28</f>
        <v>16.900000000000006</v>
      </c>
      <c r="S28" s="4"/>
    </row>
    <row r="29" spans="1:22" ht="63" x14ac:dyDescent="0.35">
      <c r="A29" s="15"/>
      <c r="B29" s="112">
        <v>3</v>
      </c>
      <c r="C29" s="109" t="s">
        <v>156</v>
      </c>
      <c r="D29" s="110" t="s">
        <v>85</v>
      </c>
      <c r="E29" s="107"/>
      <c r="F29" s="108">
        <v>1</v>
      </c>
      <c r="G29" s="107"/>
      <c r="H29" s="122">
        <f>P29*$O$21</f>
        <v>482.90000000000003</v>
      </c>
      <c r="I29" s="107"/>
      <c r="J29" s="123">
        <v>10</v>
      </c>
      <c r="K29" s="124">
        <f t="shared" si="5"/>
        <v>10</v>
      </c>
      <c r="L29" s="125"/>
      <c r="M29" s="123">
        <f>299+90+40</f>
        <v>429</v>
      </c>
      <c r="N29" s="124">
        <f t="shared" si="6"/>
        <v>429</v>
      </c>
      <c r="O29" s="125"/>
      <c r="P29" s="126">
        <f t="shared" si="8"/>
        <v>439</v>
      </c>
      <c r="Q29" s="107"/>
      <c r="R29" s="126">
        <f t="shared" si="9"/>
        <v>43.900000000000034</v>
      </c>
      <c r="S29" s="4"/>
      <c r="V29" s="119"/>
    </row>
    <row r="30" spans="1:22" ht="42" x14ac:dyDescent="0.35">
      <c r="A30" s="15"/>
      <c r="B30" s="112">
        <v>4</v>
      </c>
      <c r="C30" s="109" t="s">
        <v>154</v>
      </c>
      <c r="D30" s="110" t="s">
        <v>85</v>
      </c>
      <c r="E30" s="107"/>
      <c r="F30" s="108">
        <v>1</v>
      </c>
      <c r="G30" s="107"/>
      <c r="H30" s="122">
        <f t="shared" si="7"/>
        <v>97.9</v>
      </c>
      <c r="I30" s="107"/>
      <c r="J30" s="123">
        <v>10</v>
      </c>
      <c r="K30" s="124">
        <f t="shared" si="5"/>
        <v>10</v>
      </c>
      <c r="L30" s="125"/>
      <c r="M30" s="123">
        <v>79</v>
      </c>
      <c r="N30" s="124">
        <f t="shared" si="6"/>
        <v>79</v>
      </c>
      <c r="O30" s="125"/>
      <c r="P30" s="126">
        <f t="shared" si="8"/>
        <v>89</v>
      </c>
      <c r="Q30" s="107"/>
      <c r="R30" s="126">
        <f t="shared" si="9"/>
        <v>8.9000000000000057</v>
      </c>
      <c r="S30" s="4"/>
    </row>
    <row r="31" spans="1:22" ht="42" x14ac:dyDescent="0.35">
      <c r="A31" s="15"/>
      <c r="B31" s="112">
        <v>5</v>
      </c>
      <c r="C31" s="109" t="s">
        <v>155</v>
      </c>
      <c r="D31" s="110" t="s">
        <v>85</v>
      </c>
      <c r="E31" s="107"/>
      <c r="F31" s="108">
        <v>1</v>
      </c>
      <c r="G31" s="107"/>
      <c r="H31" s="122">
        <f t="shared" si="7"/>
        <v>108.9</v>
      </c>
      <c r="I31" s="107"/>
      <c r="J31" s="123">
        <v>10</v>
      </c>
      <c r="K31" s="124">
        <f t="shared" si="5"/>
        <v>10</v>
      </c>
      <c r="L31" s="125"/>
      <c r="M31" s="123">
        <v>89</v>
      </c>
      <c r="N31" s="124">
        <f t="shared" si="6"/>
        <v>89</v>
      </c>
      <c r="O31" s="125"/>
      <c r="P31" s="126">
        <f t="shared" si="8"/>
        <v>99</v>
      </c>
      <c r="Q31" s="107"/>
      <c r="R31" s="126">
        <f t="shared" si="9"/>
        <v>9.9000000000000057</v>
      </c>
      <c r="S31" s="4"/>
    </row>
    <row r="32" spans="1:22" ht="21" x14ac:dyDescent="0.35">
      <c r="A32" s="15"/>
      <c r="B32" s="112">
        <v>6</v>
      </c>
      <c r="C32" s="109"/>
      <c r="D32" s="110"/>
      <c r="E32" s="107"/>
      <c r="F32" s="108"/>
      <c r="G32" s="107"/>
      <c r="H32" s="122">
        <f t="shared" si="7"/>
        <v>0</v>
      </c>
      <c r="I32" s="107"/>
      <c r="J32" s="123"/>
      <c r="K32" s="124">
        <f t="shared" si="5"/>
        <v>0</v>
      </c>
      <c r="L32" s="125"/>
      <c r="M32" s="123"/>
      <c r="N32" s="124">
        <f t="shared" si="6"/>
        <v>0</v>
      </c>
      <c r="O32" s="125"/>
      <c r="P32" s="126">
        <f t="shared" si="8"/>
        <v>0</v>
      </c>
      <c r="Q32" s="107"/>
      <c r="R32" s="126">
        <f t="shared" si="9"/>
        <v>0</v>
      </c>
      <c r="S32" s="4"/>
    </row>
    <row r="33" spans="1:19" ht="21" x14ac:dyDescent="0.35">
      <c r="A33" s="15"/>
      <c r="B33" s="112">
        <v>7</v>
      </c>
      <c r="C33" s="109"/>
      <c r="D33" s="110"/>
      <c r="E33" s="107"/>
      <c r="F33" s="108"/>
      <c r="G33" s="107"/>
      <c r="H33" s="122">
        <f t="shared" si="7"/>
        <v>0</v>
      </c>
      <c r="I33" s="107"/>
      <c r="J33" s="123"/>
      <c r="K33" s="124">
        <f t="shared" si="5"/>
        <v>0</v>
      </c>
      <c r="L33" s="125"/>
      <c r="M33" s="123"/>
      <c r="N33" s="124">
        <f t="shared" si="6"/>
        <v>0</v>
      </c>
      <c r="O33" s="125"/>
      <c r="P33" s="126">
        <f t="shared" si="8"/>
        <v>0</v>
      </c>
      <c r="Q33" s="107"/>
      <c r="R33" s="126">
        <f t="shared" si="9"/>
        <v>0</v>
      </c>
      <c r="S33" s="4"/>
    </row>
    <row r="34" spans="1:19" ht="21" x14ac:dyDescent="0.35">
      <c r="A34" s="15"/>
      <c r="B34" s="112">
        <v>8</v>
      </c>
      <c r="C34" s="109"/>
      <c r="D34" s="110"/>
      <c r="E34" s="107"/>
      <c r="F34" s="108"/>
      <c r="G34" s="107"/>
      <c r="H34" s="122">
        <f t="shared" si="7"/>
        <v>0</v>
      </c>
      <c r="I34" s="107"/>
      <c r="J34" s="123"/>
      <c r="K34" s="124">
        <f t="shared" si="5"/>
        <v>0</v>
      </c>
      <c r="L34" s="125"/>
      <c r="M34" s="123"/>
      <c r="N34" s="124">
        <f t="shared" si="6"/>
        <v>0</v>
      </c>
      <c r="O34" s="125"/>
      <c r="P34" s="126">
        <f t="shared" si="8"/>
        <v>0</v>
      </c>
      <c r="Q34" s="107"/>
      <c r="R34" s="126">
        <f t="shared" si="9"/>
        <v>0</v>
      </c>
      <c r="S34" s="4"/>
    </row>
    <row r="35" spans="1:19" ht="21" x14ac:dyDescent="0.35">
      <c r="A35" s="15"/>
      <c r="B35" s="112">
        <v>9</v>
      </c>
      <c r="C35" s="109"/>
      <c r="D35" s="110"/>
      <c r="E35" s="107"/>
      <c r="F35" s="108"/>
      <c r="G35" s="107"/>
      <c r="H35" s="122">
        <f t="shared" si="7"/>
        <v>0</v>
      </c>
      <c r="I35" s="107"/>
      <c r="J35" s="123"/>
      <c r="K35" s="124">
        <f t="shared" si="5"/>
        <v>0</v>
      </c>
      <c r="L35" s="125"/>
      <c r="M35" s="123"/>
      <c r="N35" s="124">
        <f t="shared" si="6"/>
        <v>0</v>
      </c>
      <c r="O35" s="125"/>
      <c r="P35" s="126">
        <f t="shared" si="8"/>
        <v>0</v>
      </c>
      <c r="Q35" s="107"/>
      <c r="R35" s="126">
        <f t="shared" si="9"/>
        <v>0</v>
      </c>
      <c r="S35" s="4"/>
    </row>
    <row r="36" spans="1:19" ht="21" x14ac:dyDescent="0.35">
      <c r="A36" s="15"/>
      <c r="B36" s="112">
        <v>10</v>
      </c>
      <c r="C36" s="109"/>
      <c r="D36" s="110"/>
      <c r="E36" s="107"/>
      <c r="F36" s="108"/>
      <c r="G36" s="107"/>
      <c r="H36" s="122">
        <f t="shared" si="7"/>
        <v>0</v>
      </c>
      <c r="I36" s="107"/>
      <c r="J36" s="123"/>
      <c r="K36" s="124">
        <f t="shared" si="5"/>
        <v>0</v>
      </c>
      <c r="L36" s="125"/>
      <c r="M36" s="123"/>
      <c r="N36" s="124">
        <f t="shared" si="6"/>
        <v>0</v>
      </c>
      <c r="O36" s="125"/>
      <c r="P36" s="126">
        <f t="shared" si="8"/>
        <v>0</v>
      </c>
      <c r="Q36" s="107"/>
      <c r="R36" s="126">
        <f t="shared" si="9"/>
        <v>0</v>
      </c>
      <c r="S36" s="4"/>
    </row>
    <row r="37" spans="1:19" ht="9.9499999999999993" customHeight="1" thickBot="1" x14ac:dyDescent="0.4">
      <c r="A37" s="15"/>
      <c r="B37" s="107"/>
      <c r="C37" s="251"/>
      <c r="D37" s="251"/>
      <c r="E37" s="107"/>
      <c r="F37" s="107"/>
      <c r="G37" s="107"/>
      <c r="H37" s="137"/>
      <c r="I37" s="107"/>
      <c r="J37" s="151"/>
      <c r="K37" s="151"/>
      <c r="L37" s="139"/>
      <c r="M37" s="151"/>
      <c r="N37" s="151"/>
      <c r="O37" s="139"/>
      <c r="P37" s="140"/>
      <c r="Q37" s="107"/>
      <c r="R37" s="141"/>
      <c r="S37" s="4"/>
    </row>
    <row r="38" spans="1:19" ht="22.5" thickTop="1" thickBot="1" x14ac:dyDescent="0.4">
      <c r="A38" s="15"/>
      <c r="B38" s="226" t="s">
        <v>17</v>
      </c>
      <c r="C38" s="227"/>
      <c r="D38" s="228"/>
      <c r="E38" s="133"/>
      <c r="F38" s="142">
        <f>Obra_Electrodomésticos*$O$21</f>
        <v>1105.5</v>
      </c>
      <c r="G38" s="107"/>
      <c r="H38" s="184">
        <f>SUM(H27:H36)</f>
        <v>1105.5</v>
      </c>
      <c r="I38" s="107"/>
      <c r="J38" s="143" t="s">
        <v>79</v>
      </c>
      <c r="K38" s="144">
        <f>SUM(K27:K36)</f>
        <v>50</v>
      </c>
      <c r="L38" s="145"/>
      <c r="M38" s="143" t="s">
        <v>80</v>
      </c>
      <c r="N38" s="144">
        <f>SUM(N27:N36)</f>
        <v>955</v>
      </c>
      <c r="O38" s="146"/>
      <c r="P38" s="147">
        <f>SUM(P27:P37)</f>
        <v>1005</v>
      </c>
      <c r="Q38" s="107"/>
      <c r="R38" s="147">
        <f>SUM(R27:R36)</f>
        <v>100.50000000000006</v>
      </c>
      <c r="S38" s="4"/>
    </row>
    <row r="39" spans="1:19" ht="20.25" customHeight="1" thickTop="1" x14ac:dyDescent="0.35">
      <c r="A39" s="114"/>
      <c r="B39" s="114"/>
      <c r="C39" s="114"/>
      <c r="D39" s="114"/>
      <c r="E39" s="114"/>
      <c r="F39" s="114"/>
      <c r="G39" s="7"/>
      <c r="H39" s="7"/>
      <c r="I39" s="7"/>
      <c r="J39" s="4"/>
      <c r="K39" s="4"/>
      <c r="L39" s="4"/>
      <c r="M39" s="4"/>
      <c r="N39" s="4"/>
      <c r="O39" s="4"/>
      <c r="P39" s="4"/>
      <c r="Q39" s="4"/>
      <c r="R39" s="4"/>
      <c r="S39" s="4"/>
    </row>
  </sheetData>
  <mergeCells count="23">
    <mergeCell ref="O21:R23"/>
    <mergeCell ref="C21:F23"/>
    <mergeCell ref="M6:N6"/>
    <mergeCell ref="J2:M4"/>
    <mergeCell ref="N2:N4"/>
    <mergeCell ref="O2:R4"/>
    <mergeCell ref="H2:H4"/>
    <mergeCell ref="H21:H23"/>
    <mergeCell ref="J6:K6"/>
    <mergeCell ref="B38:D38"/>
    <mergeCell ref="B25:C25"/>
    <mergeCell ref="J25:K25"/>
    <mergeCell ref="B20:F20"/>
    <mergeCell ref="B21:B23"/>
    <mergeCell ref="C37:D37"/>
    <mergeCell ref="J21:M23"/>
    <mergeCell ref="M25:N25"/>
    <mergeCell ref="N21:N23"/>
    <mergeCell ref="B2:B4"/>
    <mergeCell ref="C2:F4"/>
    <mergeCell ref="C18:D18"/>
    <mergeCell ref="B19:D19"/>
    <mergeCell ref="B6:C6"/>
  </mergeCells>
  <printOptions horizontalCentered="1"/>
  <pageMargins left="0.39370078740157483" right="0.39370078740157483" top="0.74803149606299213" bottom="0.74803149606299213" header="0.31496062992125984" footer="0.31496062992125984"/>
  <pageSetup paperSize="9"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9"/>
  <sheetViews>
    <sheetView view="pageBreakPreview" zoomScale="70" zoomScaleNormal="55" zoomScaleSheetLayoutView="70" workbookViewId="0">
      <selection activeCell="C10" sqref="C10"/>
    </sheetView>
  </sheetViews>
  <sheetFormatPr baseColWidth="10" defaultColWidth="11.42578125" defaultRowHeight="16.5" x14ac:dyDescent="0.3"/>
  <cols>
    <col min="1" max="1" width="7.140625" style="5" customWidth="1"/>
    <col min="2" max="2" width="11.42578125" style="5"/>
    <col min="3" max="3" width="70.85546875" style="5" customWidth="1"/>
    <col min="4" max="4" width="18" style="5" bestFit="1" customWidth="1"/>
    <col min="5" max="5" width="3.5703125" style="5" customWidth="1"/>
    <col min="6" max="6" width="24.14062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31"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35</v>
      </c>
      <c r="C2" s="296" t="s">
        <v>140</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39.950000000000003" customHeight="1" x14ac:dyDescent="0.35">
      <c r="A8" s="15"/>
      <c r="B8" s="316">
        <v>1</v>
      </c>
      <c r="C8" s="105" t="s">
        <v>87</v>
      </c>
      <c r="D8" s="106" t="s">
        <v>84</v>
      </c>
      <c r="E8" s="107"/>
      <c r="F8" s="108">
        <v>1</v>
      </c>
      <c r="G8" s="107"/>
      <c r="H8" s="161">
        <f>P8*$O$2</f>
        <v>880.00000000000011</v>
      </c>
      <c r="I8" s="107"/>
      <c r="J8" s="149">
        <v>800</v>
      </c>
      <c r="K8" s="124">
        <f t="shared" ref="K8:K27" si="0">$J8*$F8</f>
        <v>800</v>
      </c>
      <c r="L8" s="125"/>
      <c r="M8" s="149"/>
      <c r="N8" s="124">
        <f t="shared" ref="N8:N27" si="1">$M8*$F8</f>
        <v>0</v>
      </c>
      <c r="O8" s="125"/>
      <c r="P8" s="126">
        <f>N8+K8</f>
        <v>800</v>
      </c>
      <c r="Q8" s="125"/>
      <c r="R8" s="126">
        <f>H8-P8</f>
        <v>80.000000000000114</v>
      </c>
      <c r="S8" s="15"/>
    </row>
    <row r="9" spans="1:19" s="16" customFormat="1" ht="20.100000000000001" customHeight="1" x14ac:dyDescent="0.35">
      <c r="A9" s="15"/>
      <c r="B9" s="317"/>
      <c r="C9" s="109" t="s">
        <v>88</v>
      </c>
      <c r="D9" s="110"/>
      <c r="E9" s="107"/>
      <c r="F9" s="108"/>
      <c r="G9" s="107"/>
      <c r="H9" s="161">
        <f>P9*$O$2</f>
        <v>0</v>
      </c>
      <c r="I9" s="107"/>
      <c r="J9" s="123"/>
      <c r="K9" s="124">
        <f t="shared" si="0"/>
        <v>0</v>
      </c>
      <c r="L9" s="125"/>
      <c r="M9" s="123"/>
      <c r="N9" s="124">
        <f t="shared" si="1"/>
        <v>0</v>
      </c>
      <c r="O9" s="125"/>
      <c r="P9" s="126">
        <f t="shared" ref="P9:P27" si="2">N9+K9</f>
        <v>0</v>
      </c>
      <c r="Q9" s="125"/>
      <c r="R9" s="126">
        <f t="shared" ref="R9:R27" si="3">H9-P9</f>
        <v>0</v>
      </c>
      <c r="S9" s="15"/>
    </row>
    <row r="10" spans="1:19" s="16" customFormat="1" ht="20.100000000000001" customHeight="1" x14ac:dyDescent="0.35">
      <c r="A10" s="15"/>
      <c r="B10" s="317"/>
      <c r="C10" s="111" t="s">
        <v>89</v>
      </c>
      <c r="D10" s="110" t="s">
        <v>85</v>
      </c>
      <c r="E10" s="107"/>
      <c r="F10" s="108">
        <v>1</v>
      </c>
      <c r="G10" s="107"/>
      <c r="H10" s="161">
        <f t="shared" ref="H10:H27" si="4">P10*$O$2</f>
        <v>0</v>
      </c>
      <c r="I10" s="107"/>
      <c r="J10" s="123"/>
      <c r="K10" s="124">
        <f t="shared" si="0"/>
        <v>0</v>
      </c>
      <c r="L10" s="125"/>
      <c r="M10" s="123"/>
      <c r="N10" s="124">
        <f t="shared" si="1"/>
        <v>0</v>
      </c>
      <c r="O10" s="125"/>
      <c r="P10" s="126">
        <f t="shared" si="2"/>
        <v>0</v>
      </c>
      <c r="Q10" s="125"/>
      <c r="R10" s="126">
        <f t="shared" si="3"/>
        <v>0</v>
      </c>
      <c r="S10" s="15"/>
    </row>
    <row r="11" spans="1:19" s="16" customFormat="1" ht="20.100000000000001" customHeight="1" x14ac:dyDescent="0.35">
      <c r="A11" s="15"/>
      <c r="B11" s="317"/>
      <c r="C11" s="111" t="s">
        <v>90</v>
      </c>
      <c r="D11" s="110" t="s">
        <v>85</v>
      </c>
      <c r="E11" s="107"/>
      <c r="F11" s="108">
        <v>1</v>
      </c>
      <c r="G11" s="107"/>
      <c r="H11" s="161">
        <f t="shared" si="4"/>
        <v>0</v>
      </c>
      <c r="I11" s="107"/>
      <c r="J11" s="123"/>
      <c r="K11" s="124">
        <f t="shared" si="0"/>
        <v>0</v>
      </c>
      <c r="L11" s="125"/>
      <c r="M11" s="123"/>
      <c r="N11" s="124">
        <f t="shared" si="1"/>
        <v>0</v>
      </c>
      <c r="O11" s="125"/>
      <c r="P11" s="126">
        <f t="shared" si="2"/>
        <v>0</v>
      </c>
      <c r="Q11" s="125"/>
      <c r="R11" s="126">
        <f t="shared" si="3"/>
        <v>0</v>
      </c>
      <c r="S11" s="15"/>
    </row>
    <row r="12" spans="1:19" s="16" customFormat="1" ht="20.100000000000001" customHeight="1" x14ac:dyDescent="0.35">
      <c r="A12" s="15"/>
      <c r="B12" s="317"/>
      <c r="C12" s="111" t="s">
        <v>91</v>
      </c>
      <c r="D12" s="110" t="s">
        <v>85</v>
      </c>
      <c r="E12" s="107"/>
      <c r="F12" s="108">
        <v>2</v>
      </c>
      <c r="G12" s="107"/>
      <c r="H12" s="161">
        <f t="shared" si="4"/>
        <v>0</v>
      </c>
      <c r="I12" s="107"/>
      <c r="J12" s="123"/>
      <c r="K12" s="124">
        <f t="shared" si="0"/>
        <v>0</v>
      </c>
      <c r="L12" s="125"/>
      <c r="M12" s="123"/>
      <c r="N12" s="124">
        <f t="shared" si="1"/>
        <v>0</v>
      </c>
      <c r="O12" s="125"/>
      <c r="P12" s="126">
        <f t="shared" si="2"/>
        <v>0</v>
      </c>
      <c r="Q12" s="125"/>
      <c r="R12" s="126">
        <f t="shared" si="3"/>
        <v>0</v>
      </c>
      <c r="S12" s="15"/>
    </row>
    <row r="13" spans="1:19" s="16" customFormat="1" ht="20.100000000000001" customHeight="1" x14ac:dyDescent="0.35">
      <c r="A13" s="15"/>
      <c r="B13" s="317"/>
      <c r="C13" s="111" t="s">
        <v>92</v>
      </c>
      <c r="D13" s="110" t="s">
        <v>85</v>
      </c>
      <c r="E13" s="107"/>
      <c r="F13" s="108">
        <v>1</v>
      </c>
      <c r="G13" s="107"/>
      <c r="H13" s="161">
        <f t="shared" si="4"/>
        <v>0</v>
      </c>
      <c r="I13" s="107"/>
      <c r="J13" s="123"/>
      <c r="K13" s="124">
        <f t="shared" si="0"/>
        <v>0</v>
      </c>
      <c r="L13" s="125"/>
      <c r="M13" s="123"/>
      <c r="N13" s="124">
        <f t="shared" si="1"/>
        <v>0</v>
      </c>
      <c r="O13" s="125"/>
      <c r="P13" s="126">
        <f t="shared" si="2"/>
        <v>0</v>
      </c>
      <c r="Q13" s="125"/>
      <c r="R13" s="126">
        <f t="shared" si="3"/>
        <v>0</v>
      </c>
      <c r="S13" s="15"/>
    </row>
    <row r="14" spans="1:19" s="16" customFormat="1" ht="20.100000000000001" customHeight="1" x14ac:dyDescent="0.35">
      <c r="A14" s="15"/>
      <c r="B14" s="317"/>
      <c r="C14" s="111" t="s">
        <v>93</v>
      </c>
      <c r="D14" s="110" t="s">
        <v>85</v>
      </c>
      <c r="E14" s="107"/>
      <c r="F14" s="108">
        <v>7</v>
      </c>
      <c r="G14" s="107"/>
      <c r="H14" s="161">
        <f t="shared" si="4"/>
        <v>0</v>
      </c>
      <c r="I14" s="107"/>
      <c r="J14" s="123"/>
      <c r="K14" s="124">
        <f t="shared" si="0"/>
        <v>0</v>
      </c>
      <c r="L14" s="125"/>
      <c r="M14" s="123"/>
      <c r="N14" s="124">
        <f t="shared" si="1"/>
        <v>0</v>
      </c>
      <c r="O14" s="125"/>
      <c r="P14" s="126">
        <f t="shared" si="2"/>
        <v>0</v>
      </c>
      <c r="Q14" s="125"/>
      <c r="R14" s="126">
        <f t="shared" si="3"/>
        <v>0</v>
      </c>
      <c r="S14" s="15"/>
    </row>
    <row r="15" spans="1:19" s="16" customFormat="1" ht="20.100000000000001" customHeight="1" x14ac:dyDescent="0.35">
      <c r="A15" s="15"/>
      <c r="B15" s="317"/>
      <c r="C15" s="111" t="s">
        <v>94</v>
      </c>
      <c r="D15" s="110" t="s">
        <v>85</v>
      </c>
      <c r="E15" s="107"/>
      <c r="F15" s="108">
        <v>1</v>
      </c>
      <c r="G15" s="107"/>
      <c r="H15" s="161">
        <f t="shared" si="4"/>
        <v>0</v>
      </c>
      <c r="I15" s="107"/>
      <c r="J15" s="123"/>
      <c r="K15" s="124">
        <f t="shared" si="0"/>
        <v>0</v>
      </c>
      <c r="L15" s="125"/>
      <c r="M15" s="123"/>
      <c r="N15" s="124">
        <f t="shared" si="1"/>
        <v>0</v>
      </c>
      <c r="O15" s="125"/>
      <c r="P15" s="126">
        <f t="shared" si="2"/>
        <v>0</v>
      </c>
      <c r="Q15" s="125"/>
      <c r="R15" s="126">
        <f t="shared" si="3"/>
        <v>0</v>
      </c>
      <c r="S15" s="15"/>
    </row>
    <row r="16" spans="1:19" s="16" customFormat="1" ht="20.100000000000001" customHeight="1" x14ac:dyDescent="0.35">
      <c r="A16" s="15"/>
      <c r="B16" s="318"/>
      <c r="C16" s="111" t="s">
        <v>95</v>
      </c>
      <c r="D16" s="110" t="s">
        <v>85</v>
      </c>
      <c r="E16" s="107"/>
      <c r="F16" s="108">
        <v>1</v>
      </c>
      <c r="G16" s="107"/>
      <c r="H16" s="161">
        <f t="shared" si="4"/>
        <v>0</v>
      </c>
      <c r="I16" s="107"/>
      <c r="J16" s="123"/>
      <c r="K16" s="124">
        <f t="shared" si="0"/>
        <v>0</v>
      </c>
      <c r="L16" s="125"/>
      <c r="M16" s="123"/>
      <c r="N16" s="124">
        <f t="shared" si="1"/>
        <v>0</v>
      </c>
      <c r="O16" s="125"/>
      <c r="P16" s="126">
        <f t="shared" si="2"/>
        <v>0</v>
      </c>
      <c r="Q16" s="125"/>
      <c r="R16" s="126">
        <f t="shared" si="3"/>
        <v>0</v>
      </c>
      <c r="S16" s="15"/>
    </row>
    <row r="17" spans="1:19" s="16" customFormat="1" ht="20.100000000000001" customHeight="1" x14ac:dyDescent="0.35">
      <c r="A17" s="15"/>
      <c r="B17" s="112">
        <v>2</v>
      </c>
      <c r="C17" s="113" t="s">
        <v>96</v>
      </c>
      <c r="D17" s="106" t="s">
        <v>84</v>
      </c>
      <c r="E17" s="107"/>
      <c r="F17" s="108">
        <v>1</v>
      </c>
      <c r="G17" s="107"/>
      <c r="H17" s="161">
        <f t="shared" ref="H17:H26" si="5">P17*$O$2</f>
        <v>220.00000000000003</v>
      </c>
      <c r="I17" s="107"/>
      <c r="J17" s="123">
        <v>200</v>
      </c>
      <c r="K17" s="124">
        <f t="shared" si="0"/>
        <v>200</v>
      </c>
      <c r="L17" s="125"/>
      <c r="M17" s="123"/>
      <c r="N17" s="124">
        <f t="shared" si="1"/>
        <v>0</v>
      </c>
      <c r="O17" s="125"/>
      <c r="P17" s="126">
        <f t="shared" si="2"/>
        <v>200</v>
      </c>
      <c r="Q17" s="125"/>
      <c r="R17" s="126">
        <f t="shared" si="3"/>
        <v>20.000000000000028</v>
      </c>
      <c r="S17" s="15"/>
    </row>
    <row r="18" spans="1:19" s="16" customFormat="1" ht="20.100000000000001" customHeight="1" x14ac:dyDescent="0.35">
      <c r="A18" s="15"/>
      <c r="B18" s="112">
        <v>3</v>
      </c>
      <c r="C18" s="120" t="s">
        <v>109</v>
      </c>
      <c r="D18" s="106" t="s">
        <v>84</v>
      </c>
      <c r="E18" s="107"/>
      <c r="F18" s="108"/>
      <c r="G18" s="107"/>
      <c r="H18" s="161">
        <f t="shared" si="5"/>
        <v>0</v>
      </c>
      <c r="I18" s="107"/>
      <c r="J18" s="127"/>
      <c r="K18" s="124">
        <f t="shared" si="0"/>
        <v>0</v>
      </c>
      <c r="L18" s="125"/>
      <c r="M18" s="123"/>
      <c r="N18" s="124">
        <f t="shared" si="1"/>
        <v>0</v>
      </c>
      <c r="O18" s="125"/>
      <c r="P18" s="126">
        <f t="shared" si="2"/>
        <v>0</v>
      </c>
      <c r="Q18" s="139"/>
      <c r="R18" s="126">
        <f t="shared" si="3"/>
        <v>0</v>
      </c>
      <c r="S18" s="15"/>
    </row>
    <row r="19" spans="1:19" s="16" customFormat="1" ht="21" x14ac:dyDescent="0.35">
      <c r="A19" s="15"/>
      <c r="B19" s="112">
        <v>4</v>
      </c>
      <c r="C19" s="131" t="s">
        <v>110</v>
      </c>
      <c r="D19" s="130" t="s">
        <v>85</v>
      </c>
      <c r="E19" s="107"/>
      <c r="F19" s="108">
        <v>15</v>
      </c>
      <c r="G19" s="107"/>
      <c r="H19" s="161">
        <f t="shared" si="5"/>
        <v>660</v>
      </c>
      <c r="I19" s="107"/>
      <c r="J19" s="127">
        <v>40</v>
      </c>
      <c r="K19" s="124">
        <f t="shared" si="0"/>
        <v>600</v>
      </c>
      <c r="L19" s="125"/>
      <c r="M19" s="128"/>
      <c r="N19" s="124">
        <f t="shared" si="1"/>
        <v>0</v>
      </c>
      <c r="O19" s="125"/>
      <c r="P19" s="126">
        <f t="shared" si="2"/>
        <v>600</v>
      </c>
      <c r="Q19" s="146"/>
      <c r="R19" s="126">
        <f t="shared" si="3"/>
        <v>60</v>
      </c>
      <c r="S19" s="15"/>
    </row>
    <row r="20" spans="1:19" s="16" customFormat="1" ht="20.100000000000001" customHeight="1" x14ac:dyDescent="0.35">
      <c r="A20" s="15"/>
      <c r="B20" s="112">
        <v>5</v>
      </c>
      <c r="C20" s="131" t="s">
        <v>111</v>
      </c>
      <c r="D20" s="130" t="s">
        <v>85</v>
      </c>
      <c r="E20" s="107"/>
      <c r="F20" s="108">
        <f>15+1+1+11+1</f>
        <v>29</v>
      </c>
      <c r="G20" s="136"/>
      <c r="H20" s="161">
        <f t="shared" si="5"/>
        <v>1276</v>
      </c>
      <c r="I20" s="136"/>
      <c r="J20" s="127">
        <v>40</v>
      </c>
      <c r="K20" s="124">
        <f t="shared" si="0"/>
        <v>1160</v>
      </c>
      <c r="L20" s="125"/>
      <c r="M20" s="128"/>
      <c r="N20" s="124">
        <f t="shared" si="1"/>
        <v>0</v>
      </c>
      <c r="O20" s="125"/>
      <c r="P20" s="126">
        <f t="shared" si="2"/>
        <v>1160</v>
      </c>
      <c r="Q20" s="107"/>
      <c r="R20" s="126">
        <f t="shared" si="3"/>
        <v>116</v>
      </c>
      <c r="S20" s="15"/>
    </row>
    <row r="21" spans="1:19" s="16" customFormat="1" ht="20.100000000000001" customHeight="1" x14ac:dyDescent="0.35">
      <c r="A21" s="15"/>
      <c r="B21" s="112">
        <v>6</v>
      </c>
      <c r="C21" s="131" t="s">
        <v>112</v>
      </c>
      <c r="D21" s="130" t="s">
        <v>85</v>
      </c>
      <c r="E21" s="107"/>
      <c r="F21" s="108">
        <v>3</v>
      </c>
      <c r="G21" s="107"/>
      <c r="H21" s="161">
        <f t="shared" si="5"/>
        <v>132</v>
      </c>
      <c r="I21" s="107"/>
      <c r="J21" s="127">
        <v>40</v>
      </c>
      <c r="K21" s="124">
        <f t="shared" si="0"/>
        <v>120</v>
      </c>
      <c r="L21" s="125"/>
      <c r="M21" s="128"/>
      <c r="N21" s="124">
        <f t="shared" si="1"/>
        <v>0</v>
      </c>
      <c r="O21" s="125"/>
      <c r="P21" s="126">
        <f t="shared" si="2"/>
        <v>120</v>
      </c>
      <c r="Q21" s="107"/>
      <c r="R21" s="126">
        <f t="shared" si="3"/>
        <v>12</v>
      </c>
      <c r="S21" s="15"/>
    </row>
    <row r="22" spans="1:19" s="16" customFormat="1" ht="20.100000000000001" customHeight="1" x14ac:dyDescent="0.35">
      <c r="A22" s="15"/>
      <c r="B22" s="112">
        <v>7</v>
      </c>
      <c r="C22" s="131" t="s">
        <v>113</v>
      </c>
      <c r="D22" s="130" t="s">
        <v>85</v>
      </c>
      <c r="E22" s="107"/>
      <c r="F22" s="108">
        <v>4</v>
      </c>
      <c r="G22" s="107"/>
      <c r="H22" s="161">
        <f t="shared" si="5"/>
        <v>176</v>
      </c>
      <c r="I22" s="107"/>
      <c r="J22" s="127">
        <v>40</v>
      </c>
      <c r="K22" s="124">
        <f t="shared" si="0"/>
        <v>160</v>
      </c>
      <c r="L22" s="125"/>
      <c r="M22" s="128"/>
      <c r="N22" s="124">
        <f t="shared" si="1"/>
        <v>0</v>
      </c>
      <c r="O22" s="125"/>
      <c r="P22" s="126">
        <f t="shared" si="2"/>
        <v>160</v>
      </c>
      <c r="Q22" s="107"/>
      <c r="R22" s="126">
        <f t="shared" si="3"/>
        <v>16</v>
      </c>
      <c r="S22" s="15"/>
    </row>
    <row r="23" spans="1:19" s="16" customFormat="1" ht="20.100000000000001" customHeight="1" x14ac:dyDescent="0.35">
      <c r="A23" s="15"/>
      <c r="B23" s="112">
        <v>8</v>
      </c>
      <c r="C23" s="131" t="s">
        <v>114</v>
      </c>
      <c r="D23" s="130" t="s">
        <v>85</v>
      </c>
      <c r="E23" s="107"/>
      <c r="F23" s="108">
        <v>1</v>
      </c>
      <c r="G23" s="107"/>
      <c r="H23" s="161">
        <f t="shared" si="5"/>
        <v>44</v>
      </c>
      <c r="I23" s="107"/>
      <c r="J23" s="123">
        <v>40</v>
      </c>
      <c r="K23" s="124">
        <f t="shared" si="0"/>
        <v>40</v>
      </c>
      <c r="L23" s="125"/>
      <c r="M23" s="128"/>
      <c r="N23" s="124">
        <f t="shared" si="1"/>
        <v>0</v>
      </c>
      <c r="O23" s="125"/>
      <c r="P23" s="126">
        <f t="shared" si="2"/>
        <v>40</v>
      </c>
      <c r="Q23" s="107"/>
      <c r="R23" s="126">
        <f t="shared" si="3"/>
        <v>4</v>
      </c>
      <c r="S23" s="15"/>
    </row>
    <row r="24" spans="1:19" s="16" customFormat="1" ht="20.100000000000001" customHeight="1" x14ac:dyDescent="0.35">
      <c r="A24" s="15"/>
      <c r="B24" s="112">
        <v>9</v>
      </c>
      <c r="C24" s="131" t="s">
        <v>115</v>
      </c>
      <c r="D24" s="130" t="s">
        <v>85</v>
      </c>
      <c r="E24" s="107"/>
      <c r="F24" s="108">
        <v>1</v>
      </c>
      <c r="G24" s="107"/>
      <c r="H24" s="161">
        <f t="shared" si="5"/>
        <v>44</v>
      </c>
      <c r="I24" s="107"/>
      <c r="J24" s="123">
        <v>40</v>
      </c>
      <c r="K24" s="124">
        <f t="shared" si="0"/>
        <v>40</v>
      </c>
      <c r="L24" s="125"/>
      <c r="M24" s="128"/>
      <c r="N24" s="124">
        <f t="shared" si="1"/>
        <v>0</v>
      </c>
      <c r="O24" s="125"/>
      <c r="P24" s="126">
        <f t="shared" si="2"/>
        <v>40</v>
      </c>
      <c r="Q24" s="107"/>
      <c r="R24" s="126">
        <f t="shared" si="3"/>
        <v>4</v>
      </c>
      <c r="S24" s="15"/>
    </row>
    <row r="25" spans="1:19" s="16" customFormat="1" ht="20.100000000000001" customHeight="1" x14ac:dyDescent="0.35">
      <c r="A25" s="15"/>
      <c r="B25" s="112">
        <v>10</v>
      </c>
      <c r="C25" s="120" t="s">
        <v>147</v>
      </c>
      <c r="D25" s="121" t="s">
        <v>85</v>
      </c>
      <c r="E25" s="107"/>
      <c r="F25" s="108">
        <v>1</v>
      </c>
      <c r="G25" s="107"/>
      <c r="H25" s="161">
        <f t="shared" si="5"/>
        <v>66</v>
      </c>
      <c r="I25" s="107"/>
      <c r="J25" s="123">
        <v>60</v>
      </c>
      <c r="K25" s="124">
        <f t="shared" si="0"/>
        <v>60</v>
      </c>
      <c r="L25" s="125"/>
      <c r="M25" s="128"/>
      <c r="N25" s="124">
        <f t="shared" si="1"/>
        <v>0</v>
      </c>
      <c r="O25" s="125"/>
      <c r="P25" s="126">
        <f t="shared" si="2"/>
        <v>60</v>
      </c>
      <c r="Q25" s="107"/>
      <c r="R25" s="126">
        <f t="shared" si="3"/>
        <v>6</v>
      </c>
      <c r="S25" s="15"/>
    </row>
    <row r="26" spans="1:19" s="16" customFormat="1" ht="84" x14ac:dyDescent="0.35">
      <c r="A26" s="15"/>
      <c r="B26" s="112">
        <v>11</v>
      </c>
      <c r="C26" s="120" t="s">
        <v>164</v>
      </c>
      <c r="D26" s="121" t="s">
        <v>85</v>
      </c>
      <c r="E26" s="107"/>
      <c r="F26" s="108">
        <v>1</v>
      </c>
      <c r="G26" s="107"/>
      <c r="H26" s="161">
        <f t="shared" si="5"/>
        <v>330</v>
      </c>
      <c r="I26" s="107"/>
      <c r="J26" s="123">
        <v>300</v>
      </c>
      <c r="K26" s="124">
        <f t="shared" si="0"/>
        <v>300</v>
      </c>
      <c r="L26" s="125"/>
      <c r="M26" s="128"/>
      <c r="N26" s="124">
        <f t="shared" si="1"/>
        <v>0</v>
      </c>
      <c r="O26" s="125"/>
      <c r="P26" s="126">
        <f t="shared" si="2"/>
        <v>300</v>
      </c>
      <c r="Q26" s="107"/>
      <c r="R26" s="126">
        <f t="shared" si="3"/>
        <v>30</v>
      </c>
      <c r="S26" s="15"/>
    </row>
    <row r="27" spans="1:19" s="16" customFormat="1" ht="84" x14ac:dyDescent="0.35">
      <c r="A27" s="15"/>
      <c r="B27" s="112">
        <v>12</v>
      </c>
      <c r="C27" s="120" t="s">
        <v>165</v>
      </c>
      <c r="D27" s="130" t="s">
        <v>85</v>
      </c>
      <c r="E27" s="107"/>
      <c r="F27" s="108">
        <v>1</v>
      </c>
      <c r="G27" s="107"/>
      <c r="H27" s="161">
        <f t="shared" si="4"/>
        <v>275</v>
      </c>
      <c r="I27" s="107"/>
      <c r="J27" s="123">
        <v>250</v>
      </c>
      <c r="K27" s="124">
        <f t="shared" si="0"/>
        <v>250</v>
      </c>
      <c r="L27" s="125"/>
      <c r="M27" s="128"/>
      <c r="N27" s="124">
        <f t="shared" si="1"/>
        <v>0</v>
      </c>
      <c r="O27" s="125"/>
      <c r="P27" s="126">
        <f t="shared" si="2"/>
        <v>250</v>
      </c>
      <c r="Q27" s="107"/>
      <c r="R27" s="126">
        <f t="shared" si="3"/>
        <v>25</v>
      </c>
      <c r="S27" s="15"/>
    </row>
    <row r="28" spans="1:19" s="16" customFormat="1" ht="9.9499999999999993" customHeight="1" thickBot="1" x14ac:dyDescent="0.4">
      <c r="A28" s="15"/>
      <c r="B28" s="107"/>
      <c r="C28" s="251"/>
      <c r="D28" s="251"/>
      <c r="E28" s="107"/>
      <c r="F28" s="107"/>
      <c r="G28" s="107"/>
      <c r="H28" s="107"/>
      <c r="I28" s="107"/>
      <c r="J28" s="151"/>
      <c r="K28" s="151"/>
      <c r="L28" s="139"/>
      <c r="M28" s="151"/>
      <c r="N28" s="151"/>
      <c r="O28" s="139"/>
      <c r="P28" s="140"/>
      <c r="Q28" s="107"/>
      <c r="R28" s="133"/>
      <c r="S28" s="15"/>
    </row>
    <row r="29" spans="1:19" s="16" customFormat="1" ht="22.5" thickTop="1" thickBot="1" x14ac:dyDescent="0.4">
      <c r="A29" s="15"/>
      <c r="B29" s="313" t="s">
        <v>17</v>
      </c>
      <c r="C29" s="314"/>
      <c r="D29" s="315"/>
      <c r="E29" s="133"/>
      <c r="F29" s="162">
        <f>Obra_Instalaciones_E*$O$2</f>
        <v>4103</v>
      </c>
      <c r="G29" s="107"/>
      <c r="H29" s="184">
        <f>SUM(H8:H27)</f>
        <v>4103</v>
      </c>
      <c r="I29" s="107"/>
      <c r="J29" s="143" t="s">
        <v>79</v>
      </c>
      <c r="K29" s="144">
        <f>SUM(K8:K27)</f>
        <v>3730</v>
      </c>
      <c r="L29" s="145"/>
      <c r="M29" s="143" t="s">
        <v>80</v>
      </c>
      <c r="N29" s="144">
        <f>SUM(N8:N27)</f>
        <v>0</v>
      </c>
      <c r="O29" s="146"/>
      <c r="P29" s="147">
        <f>SUM(P8:P27)</f>
        <v>3730</v>
      </c>
      <c r="Q29" s="107"/>
      <c r="R29" s="147">
        <f>SUM(R8:R27)</f>
        <v>373.00000000000011</v>
      </c>
      <c r="S29" s="15"/>
    </row>
    <row r="30" spans="1:19" ht="9.9499999999999993" customHeight="1" thickBot="1" x14ac:dyDescent="0.4">
      <c r="A30" s="115"/>
      <c r="B30" s="107"/>
      <c r="C30" s="107"/>
      <c r="D30" s="107"/>
      <c r="E30" s="107"/>
      <c r="F30" s="107"/>
      <c r="G30" s="107"/>
      <c r="H30" s="107"/>
      <c r="I30" s="107"/>
      <c r="J30" s="107"/>
      <c r="K30" s="107"/>
      <c r="L30" s="107"/>
      <c r="M30" s="107"/>
      <c r="N30" s="107"/>
      <c r="O30" s="107"/>
      <c r="P30" s="107"/>
      <c r="Q30" s="107"/>
      <c r="R30" s="163"/>
      <c r="S30" s="4"/>
    </row>
    <row r="31" spans="1:19" ht="15" customHeight="1" thickTop="1" x14ac:dyDescent="0.35">
      <c r="A31" s="4"/>
      <c r="B31" s="293" t="s">
        <v>133</v>
      </c>
      <c r="C31" s="296" t="s">
        <v>139</v>
      </c>
      <c r="D31" s="296"/>
      <c r="E31" s="296"/>
      <c r="F31" s="296"/>
      <c r="G31" s="107"/>
      <c r="H31" s="277"/>
      <c r="I31" s="107"/>
      <c r="J31" s="269" t="s">
        <v>76</v>
      </c>
      <c r="K31" s="270"/>
      <c r="L31" s="270"/>
      <c r="M31" s="270"/>
      <c r="N31" s="274" t="s">
        <v>60</v>
      </c>
      <c r="O31" s="303">
        <f>B.I._10</f>
        <v>1.1000000000000001</v>
      </c>
      <c r="P31" s="304"/>
      <c r="Q31" s="304"/>
      <c r="R31" s="305"/>
      <c r="S31" s="4"/>
    </row>
    <row r="32" spans="1:19" ht="15" customHeight="1" x14ac:dyDescent="0.35">
      <c r="A32" s="4"/>
      <c r="B32" s="294"/>
      <c r="C32" s="297"/>
      <c r="D32" s="297"/>
      <c r="E32" s="297"/>
      <c r="F32" s="297"/>
      <c r="G32" s="107"/>
      <c r="H32" s="278"/>
      <c r="I32" s="107"/>
      <c r="J32" s="271"/>
      <c r="K32" s="212"/>
      <c r="L32" s="212"/>
      <c r="M32" s="212"/>
      <c r="N32" s="275"/>
      <c r="O32" s="306"/>
      <c r="P32" s="307"/>
      <c r="Q32" s="307"/>
      <c r="R32" s="308"/>
      <c r="S32" s="4"/>
    </row>
    <row r="33" spans="1:19" ht="15" customHeight="1" thickBot="1" x14ac:dyDescent="0.4">
      <c r="A33" s="4"/>
      <c r="B33" s="295"/>
      <c r="C33" s="298"/>
      <c r="D33" s="298"/>
      <c r="E33" s="298"/>
      <c r="F33" s="298"/>
      <c r="G33" s="107"/>
      <c r="H33" s="279"/>
      <c r="I33" s="107"/>
      <c r="J33" s="272"/>
      <c r="K33" s="273"/>
      <c r="L33" s="273"/>
      <c r="M33" s="273"/>
      <c r="N33" s="276"/>
      <c r="O33" s="309"/>
      <c r="P33" s="310"/>
      <c r="Q33" s="310"/>
      <c r="R33" s="311"/>
      <c r="S33" s="4"/>
    </row>
    <row r="34" spans="1:19" ht="9.9499999999999993" customHeight="1" thickTop="1" thickBot="1" x14ac:dyDescent="0.4">
      <c r="A34" s="15"/>
      <c r="B34" s="107"/>
      <c r="C34" s="132"/>
      <c r="D34" s="132"/>
      <c r="E34" s="107"/>
      <c r="F34" s="107"/>
      <c r="G34" s="107"/>
      <c r="H34" s="107"/>
      <c r="I34" s="107"/>
      <c r="J34" s="107"/>
      <c r="K34" s="107"/>
      <c r="L34" s="107"/>
      <c r="M34" s="107"/>
      <c r="N34" s="107"/>
      <c r="O34" s="107"/>
      <c r="P34" s="107"/>
      <c r="Q34" s="107"/>
      <c r="R34" s="163"/>
      <c r="S34" s="4"/>
    </row>
    <row r="35" spans="1:19" ht="22.5" thickTop="1" thickBot="1" x14ac:dyDescent="0.4">
      <c r="A35" s="15"/>
      <c r="B35" s="289" t="s">
        <v>15</v>
      </c>
      <c r="C35" s="290"/>
      <c r="D35" s="181" t="s">
        <v>14</v>
      </c>
      <c r="E35" s="182"/>
      <c r="F35" s="183" t="s">
        <v>16</v>
      </c>
      <c r="G35" s="182"/>
      <c r="H35" s="183" t="s">
        <v>142</v>
      </c>
      <c r="I35" s="134"/>
      <c r="J35" s="291" t="s">
        <v>77</v>
      </c>
      <c r="K35" s="292"/>
      <c r="L35" s="135"/>
      <c r="M35" s="291" t="s">
        <v>78</v>
      </c>
      <c r="N35" s="292"/>
      <c r="O35" s="135"/>
      <c r="P35" s="183" t="s">
        <v>2</v>
      </c>
      <c r="Q35" s="135"/>
      <c r="R35" s="183" t="s">
        <v>60</v>
      </c>
      <c r="S35" s="4"/>
    </row>
    <row r="36" spans="1:19" ht="9.9499999999999993" customHeight="1" thickTop="1" x14ac:dyDescent="0.35">
      <c r="A36" s="15"/>
      <c r="B36" s="107"/>
      <c r="C36" s="136"/>
      <c r="D36" s="136"/>
      <c r="E36" s="107"/>
      <c r="F36" s="133"/>
      <c r="G36" s="107"/>
      <c r="H36" s="133"/>
      <c r="I36" s="107"/>
      <c r="J36" s="107"/>
      <c r="K36" s="107"/>
      <c r="L36" s="136"/>
      <c r="M36" s="107"/>
      <c r="N36" s="107"/>
      <c r="O36" s="136"/>
      <c r="P36" s="107"/>
      <c r="Q36" s="107"/>
      <c r="R36" s="107"/>
      <c r="S36" s="4"/>
    </row>
    <row r="37" spans="1:19" ht="42" x14ac:dyDescent="0.35">
      <c r="A37" s="15"/>
      <c r="B37" s="112">
        <v>1</v>
      </c>
      <c r="C37" s="105" t="s">
        <v>120</v>
      </c>
      <c r="D37" s="106" t="s">
        <v>84</v>
      </c>
      <c r="E37" s="107"/>
      <c r="F37" s="108">
        <v>1</v>
      </c>
      <c r="G37" s="107"/>
      <c r="H37" s="122">
        <f>P37*$O$31</f>
        <v>0</v>
      </c>
      <c r="I37" s="107"/>
      <c r="J37" s="123"/>
      <c r="K37" s="124">
        <f t="shared" ref="K37:K46" si="6">$J37*$F37</f>
        <v>0</v>
      </c>
      <c r="L37" s="125"/>
      <c r="M37" s="123"/>
      <c r="N37" s="124">
        <f t="shared" ref="N37:N46" si="7">$M37*$F37</f>
        <v>0</v>
      </c>
      <c r="O37" s="125"/>
      <c r="P37" s="126">
        <f t="shared" ref="P37:P46" si="8">N37+K37</f>
        <v>0</v>
      </c>
      <c r="Q37" s="107"/>
      <c r="R37" s="126">
        <f>H37-P37</f>
        <v>0</v>
      </c>
      <c r="S37" s="4"/>
    </row>
    <row r="38" spans="1:19" ht="21" x14ac:dyDescent="0.35">
      <c r="A38" s="15"/>
      <c r="B38" s="112">
        <v>2</v>
      </c>
      <c r="C38" s="131" t="s">
        <v>116</v>
      </c>
      <c r="D38" s="130" t="s">
        <v>85</v>
      </c>
      <c r="E38" s="107"/>
      <c r="F38" s="108">
        <v>2</v>
      </c>
      <c r="G38" s="107"/>
      <c r="H38" s="122">
        <f t="shared" ref="H38:H46" si="9">P38*$O$31</f>
        <v>48.620000000000005</v>
      </c>
      <c r="I38" s="107"/>
      <c r="J38" s="123">
        <v>10</v>
      </c>
      <c r="K38" s="124">
        <f t="shared" si="6"/>
        <v>20</v>
      </c>
      <c r="L38" s="125"/>
      <c r="M38" s="123">
        <f>10*1.21</f>
        <v>12.1</v>
      </c>
      <c r="N38" s="124">
        <f t="shared" si="7"/>
        <v>24.2</v>
      </c>
      <c r="O38" s="125"/>
      <c r="P38" s="126">
        <f t="shared" si="8"/>
        <v>44.2</v>
      </c>
      <c r="Q38" s="107"/>
      <c r="R38" s="126">
        <f t="shared" ref="R38:R46" si="10">H38-P38</f>
        <v>4.4200000000000017</v>
      </c>
      <c r="S38" s="4"/>
    </row>
    <row r="39" spans="1:19" ht="42" x14ac:dyDescent="0.35">
      <c r="A39" s="15"/>
      <c r="B39" s="112">
        <v>3</v>
      </c>
      <c r="C39" s="131" t="s">
        <v>117</v>
      </c>
      <c r="D39" s="130" t="s">
        <v>85</v>
      </c>
      <c r="E39" s="107"/>
      <c r="F39" s="108">
        <v>3</v>
      </c>
      <c r="G39" s="107"/>
      <c r="H39" s="122">
        <f t="shared" si="9"/>
        <v>207.9</v>
      </c>
      <c r="I39" s="107"/>
      <c r="J39" s="123">
        <v>10</v>
      </c>
      <c r="K39" s="124">
        <f t="shared" si="6"/>
        <v>30</v>
      </c>
      <c r="L39" s="125"/>
      <c r="M39" s="123">
        <v>53</v>
      </c>
      <c r="N39" s="124">
        <f t="shared" si="7"/>
        <v>159</v>
      </c>
      <c r="O39" s="125"/>
      <c r="P39" s="126">
        <f t="shared" si="8"/>
        <v>189</v>
      </c>
      <c r="Q39" s="107"/>
      <c r="R39" s="126">
        <f t="shared" si="10"/>
        <v>18.900000000000006</v>
      </c>
      <c r="S39" s="4"/>
    </row>
    <row r="40" spans="1:19" ht="21" x14ac:dyDescent="0.35">
      <c r="A40" s="15"/>
      <c r="B40" s="112">
        <v>4</v>
      </c>
      <c r="C40" s="131" t="s">
        <v>118</v>
      </c>
      <c r="D40" s="130" t="s">
        <v>85</v>
      </c>
      <c r="E40" s="107"/>
      <c r="F40" s="108">
        <v>25</v>
      </c>
      <c r="G40" s="107"/>
      <c r="H40" s="122">
        <f t="shared" si="9"/>
        <v>690.9375</v>
      </c>
      <c r="I40" s="107"/>
      <c r="J40" s="123">
        <v>10</v>
      </c>
      <c r="K40" s="124">
        <f t="shared" si="6"/>
        <v>250</v>
      </c>
      <c r="L40" s="125"/>
      <c r="M40" s="123">
        <f>12.5*1.21</f>
        <v>15.125</v>
      </c>
      <c r="N40" s="124">
        <f t="shared" si="7"/>
        <v>378.125</v>
      </c>
      <c r="O40" s="125"/>
      <c r="P40" s="126">
        <f t="shared" si="8"/>
        <v>628.125</v>
      </c>
      <c r="Q40" s="107"/>
      <c r="R40" s="126">
        <f t="shared" si="10"/>
        <v>62.8125</v>
      </c>
      <c r="S40" s="4"/>
    </row>
    <row r="41" spans="1:19" ht="21" x14ac:dyDescent="0.35">
      <c r="A41" s="15"/>
      <c r="B41" s="112">
        <v>5</v>
      </c>
      <c r="C41" s="131" t="s">
        <v>163</v>
      </c>
      <c r="D41" s="130" t="s">
        <v>85</v>
      </c>
      <c r="E41" s="107"/>
      <c r="F41" s="108">
        <v>1</v>
      </c>
      <c r="G41" s="107"/>
      <c r="H41" s="122">
        <f t="shared" si="9"/>
        <v>44</v>
      </c>
      <c r="I41" s="107"/>
      <c r="J41" s="123">
        <v>10</v>
      </c>
      <c r="K41" s="124">
        <f t="shared" si="6"/>
        <v>10</v>
      </c>
      <c r="L41" s="125"/>
      <c r="M41" s="123">
        <v>30</v>
      </c>
      <c r="N41" s="124">
        <f t="shared" si="7"/>
        <v>30</v>
      </c>
      <c r="O41" s="125"/>
      <c r="P41" s="126">
        <f t="shared" si="8"/>
        <v>40</v>
      </c>
      <c r="Q41" s="107"/>
      <c r="R41" s="126">
        <f t="shared" si="10"/>
        <v>4</v>
      </c>
      <c r="S41" s="4"/>
    </row>
    <row r="42" spans="1:19" ht="21" x14ac:dyDescent="0.35">
      <c r="A42" s="15"/>
      <c r="B42" s="112">
        <v>6</v>
      </c>
      <c r="C42" s="131" t="s">
        <v>119</v>
      </c>
      <c r="D42" s="130" t="s">
        <v>85</v>
      </c>
      <c r="E42" s="107"/>
      <c r="F42" s="108">
        <v>3</v>
      </c>
      <c r="G42" s="107"/>
      <c r="H42" s="122">
        <f t="shared" si="9"/>
        <v>231.00000000000003</v>
      </c>
      <c r="I42" s="107"/>
      <c r="J42" s="123">
        <v>10</v>
      </c>
      <c r="K42" s="124">
        <f t="shared" si="6"/>
        <v>30</v>
      </c>
      <c r="L42" s="125"/>
      <c r="M42" s="123">
        <v>60</v>
      </c>
      <c r="N42" s="124">
        <f t="shared" si="7"/>
        <v>180</v>
      </c>
      <c r="O42" s="125"/>
      <c r="P42" s="126">
        <f t="shared" si="8"/>
        <v>210</v>
      </c>
      <c r="Q42" s="107"/>
      <c r="R42" s="126">
        <f t="shared" si="10"/>
        <v>21.000000000000028</v>
      </c>
      <c r="S42" s="4"/>
    </row>
    <row r="43" spans="1:19" ht="21" x14ac:dyDescent="0.35">
      <c r="A43" s="15"/>
      <c r="B43" s="112">
        <v>7</v>
      </c>
      <c r="C43" s="131"/>
      <c r="D43" s="130"/>
      <c r="E43" s="107"/>
      <c r="F43" s="108"/>
      <c r="G43" s="107"/>
      <c r="H43" s="122">
        <f t="shared" si="9"/>
        <v>0</v>
      </c>
      <c r="I43" s="107"/>
      <c r="J43" s="123"/>
      <c r="K43" s="124"/>
      <c r="L43" s="125"/>
      <c r="M43" s="123"/>
      <c r="N43" s="124">
        <f t="shared" si="7"/>
        <v>0</v>
      </c>
      <c r="O43" s="125"/>
      <c r="P43" s="126">
        <f t="shared" si="8"/>
        <v>0</v>
      </c>
      <c r="Q43" s="107"/>
      <c r="R43" s="126">
        <f t="shared" si="10"/>
        <v>0</v>
      </c>
      <c r="S43" s="4"/>
    </row>
    <row r="44" spans="1:19" ht="21" x14ac:dyDescent="0.35">
      <c r="A44" s="15"/>
      <c r="B44" s="112">
        <v>8</v>
      </c>
      <c r="C44" s="129"/>
      <c r="D44" s="130"/>
      <c r="E44" s="107"/>
      <c r="F44" s="108"/>
      <c r="G44" s="107"/>
      <c r="H44" s="122">
        <f t="shared" si="9"/>
        <v>0</v>
      </c>
      <c r="I44" s="107"/>
      <c r="J44" s="123"/>
      <c r="K44" s="124">
        <f t="shared" si="6"/>
        <v>0</v>
      </c>
      <c r="L44" s="125"/>
      <c r="M44" s="123"/>
      <c r="N44" s="124">
        <f t="shared" si="7"/>
        <v>0</v>
      </c>
      <c r="O44" s="125"/>
      <c r="P44" s="126">
        <f t="shared" si="8"/>
        <v>0</v>
      </c>
      <c r="Q44" s="107"/>
      <c r="R44" s="126">
        <f t="shared" si="10"/>
        <v>0</v>
      </c>
      <c r="S44" s="4"/>
    </row>
    <row r="45" spans="1:19" ht="21" x14ac:dyDescent="0.35">
      <c r="A45" s="15"/>
      <c r="B45" s="112">
        <v>9</v>
      </c>
      <c r="C45" s="129"/>
      <c r="D45" s="130"/>
      <c r="E45" s="107"/>
      <c r="F45" s="108"/>
      <c r="G45" s="107"/>
      <c r="H45" s="122">
        <f t="shared" si="9"/>
        <v>0</v>
      </c>
      <c r="I45" s="107"/>
      <c r="J45" s="123"/>
      <c r="K45" s="124">
        <f t="shared" si="6"/>
        <v>0</v>
      </c>
      <c r="L45" s="125"/>
      <c r="M45" s="123"/>
      <c r="N45" s="124">
        <f t="shared" si="7"/>
        <v>0</v>
      </c>
      <c r="O45" s="125"/>
      <c r="P45" s="126">
        <f t="shared" si="8"/>
        <v>0</v>
      </c>
      <c r="Q45" s="107"/>
      <c r="R45" s="126">
        <f t="shared" si="10"/>
        <v>0</v>
      </c>
      <c r="S45" s="4"/>
    </row>
    <row r="46" spans="1:19" ht="21" x14ac:dyDescent="0.35">
      <c r="A46" s="15"/>
      <c r="B46" s="112">
        <v>10</v>
      </c>
      <c r="C46" s="131"/>
      <c r="D46" s="130"/>
      <c r="E46" s="107"/>
      <c r="F46" s="108"/>
      <c r="G46" s="107"/>
      <c r="H46" s="122">
        <f t="shared" si="9"/>
        <v>0</v>
      </c>
      <c r="I46" s="107"/>
      <c r="J46" s="123"/>
      <c r="K46" s="124">
        <f t="shared" si="6"/>
        <v>0</v>
      </c>
      <c r="L46" s="125"/>
      <c r="M46" s="123"/>
      <c r="N46" s="124">
        <f t="shared" si="7"/>
        <v>0</v>
      </c>
      <c r="O46" s="125"/>
      <c r="P46" s="126">
        <f t="shared" si="8"/>
        <v>0</v>
      </c>
      <c r="Q46" s="107"/>
      <c r="R46" s="126">
        <f t="shared" si="10"/>
        <v>0</v>
      </c>
      <c r="S46" s="4"/>
    </row>
    <row r="47" spans="1:19" ht="9.9499999999999993" customHeight="1" thickBot="1" x14ac:dyDescent="0.4">
      <c r="A47" s="15"/>
      <c r="B47" s="107"/>
      <c r="C47" s="251"/>
      <c r="D47" s="251"/>
      <c r="E47" s="107"/>
      <c r="F47" s="107"/>
      <c r="G47" s="107"/>
      <c r="H47" s="137"/>
      <c r="I47" s="107"/>
      <c r="J47" s="151"/>
      <c r="K47" s="151"/>
      <c r="L47" s="139"/>
      <c r="M47" s="151"/>
      <c r="N47" s="151"/>
      <c r="O47" s="139"/>
      <c r="P47" s="140"/>
      <c r="Q47" s="107"/>
      <c r="R47" s="141"/>
      <c r="S47" s="4"/>
    </row>
    <row r="48" spans="1:19" ht="22.5" thickTop="1" thickBot="1" x14ac:dyDescent="0.4">
      <c r="A48" s="15"/>
      <c r="B48" s="313" t="s">
        <v>17</v>
      </c>
      <c r="C48" s="314"/>
      <c r="D48" s="315"/>
      <c r="E48" s="133"/>
      <c r="F48" s="162">
        <f>Obra_Instalaciones_L*$O$31</f>
        <v>1222.4575000000002</v>
      </c>
      <c r="G48" s="107"/>
      <c r="H48" s="184">
        <f>SUM(H37:H46)</f>
        <v>1222.4575</v>
      </c>
      <c r="I48" s="107"/>
      <c r="J48" s="143" t="s">
        <v>79</v>
      </c>
      <c r="K48" s="144">
        <f>SUM(K37:K46)</f>
        <v>340</v>
      </c>
      <c r="L48" s="145"/>
      <c r="M48" s="143" t="s">
        <v>80</v>
      </c>
      <c r="N48" s="144">
        <f>SUM(N37:N46)</f>
        <v>771.32500000000005</v>
      </c>
      <c r="O48" s="146"/>
      <c r="P48" s="147">
        <f>SUM(P37:P46)</f>
        <v>1111.325</v>
      </c>
      <c r="Q48" s="107"/>
      <c r="R48" s="147">
        <f>SUM(R37:R46)</f>
        <v>111.13250000000004</v>
      </c>
      <c r="S48" s="4"/>
    </row>
    <row r="49" spans="1:19" x14ac:dyDescent="0.3">
      <c r="A49" s="115"/>
      <c r="B49" s="4"/>
      <c r="C49" s="4"/>
      <c r="D49" s="4"/>
      <c r="E49" s="4"/>
      <c r="F49" s="4"/>
      <c r="G49" s="4"/>
      <c r="H49" s="4"/>
      <c r="I49" s="4"/>
      <c r="J49" s="4"/>
      <c r="K49" s="4"/>
      <c r="L49" s="4"/>
      <c r="M49" s="4"/>
      <c r="N49" s="4"/>
      <c r="O49" s="4"/>
      <c r="P49" s="4"/>
      <c r="Q49" s="4"/>
      <c r="R49" s="4"/>
      <c r="S49" s="4"/>
    </row>
  </sheetData>
  <mergeCells count="23">
    <mergeCell ref="B2:B4"/>
    <mergeCell ref="C2:F4"/>
    <mergeCell ref="C28:D28"/>
    <mergeCell ref="B6:C6"/>
    <mergeCell ref="B8:B16"/>
    <mergeCell ref="C47:D47"/>
    <mergeCell ref="B31:B33"/>
    <mergeCell ref="C31:F33"/>
    <mergeCell ref="B48:D48"/>
    <mergeCell ref="B29:D29"/>
    <mergeCell ref="B35:C35"/>
    <mergeCell ref="O2:R4"/>
    <mergeCell ref="O31:R33"/>
    <mergeCell ref="J6:K6"/>
    <mergeCell ref="M6:N6"/>
    <mergeCell ref="J35:K35"/>
    <mergeCell ref="M35:N35"/>
    <mergeCell ref="H2:H4"/>
    <mergeCell ref="H31:H33"/>
    <mergeCell ref="J2:M4"/>
    <mergeCell ref="N2:N4"/>
    <mergeCell ref="J31:M33"/>
    <mergeCell ref="N31:N33"/>
  </mergeCells>
  <printOptions horizontalCentered="1"/>
  <pageMargins left="0.39370078740157483" right="0.39370078740157483" top="0.74803149606299213" bottom="0.74803149606299213" header="0.31496062992125984" footer="0.31496062992125984"/>
  <pageSetup paperSize="9" scale="74" fitToHeight="0" orientation="portrait" r:id="rId1"/>
  <rowBreaks count="1" manualBreakCount="1">
    <brk id="30" min="1"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9"/>
  <sheetViews>
    <sheetView view="pageBreakPreview" zoomScale="80" zoomScaleNormal="55" zoomScaleSheetLayoutView="80" workbookViewId="0">
      <selection activeCell="C12" sqref="C12"/>
    </sheetView>
  </sheetViews>
  <sheetFormatPr baseColWidth="10" defaultColWidth="11.42578125" defaultRowHeight="16.5" x14ac:dyDescent="0.3"/>
  <cols>
    <col min="1" max="1" width="7.140625" style="5" customWidth="1"/>
    <col min="2" max="2" width="11.42578125" style="5"/>
    <col min="3" max="3" width="70.85546875" style="5" customWidth="1"/>
    <col min="4" max="4" width="15.42578125" style="5" bestFit="1" customWidth="1"/>
    <col min="5" max="5" width="3.5703125" style="5" customWidth="1"/>
    <col min="6" max="6" width="23.5703125" style="5" bestFit="1" customWidth="1"/>
    <col min="7" max="7" width="4.7109375" style="5" customWidth="1"/>
    <col min="8" max="8" width="23" style="5" bestFit="1" customWidth="1"/>
    <col min="9" max="9" width="4.7109375" style="5" customWidth="1"/>
    <col min="10" max="10" width="25.7109375" style="5" bestFit="1" customWidth="1"/>
    <col min="11" max="11" width="25.7109375" style="5" customWidth="1"/>
    <col min="12" max="12" width="4.7109375" style="5" customWidth="1"/>
    <col min="13" max="13" width="31" style="5" bestFit="1" customWidth="1"/>
    <col min="14" max="14" width="25.7109375" style="5" customWidth="1"/>
    <col min="15" max="15" width="4.7109375" style="5" customWidth="1"/>
    <col min="16" max="16" width="25.7109375" style="5" customWidth="1"/>
    <col min="17" max="17" width="4.7109375" style="5" customWidth="1"/>
    <col min="18" max="18" width="25.7109375" style="5" customWidth="1"/>
    <col min="19" max="19" width="7.28515625" style="5" customWidth="1"/>
    <col min="20" max="16384" width="11.42578125" style="5"/>
  </cols>
  <sheetData>
    <row r="1" spans="1:19" ht="9.9499999999999993" customHeight="1" thickBot="1" x14ac:dyDescent="0.35">
      <c r="A1" s="3"/>
      <c r="B1" s="4"/>
      <c r="C1" s="4"/>
      <c r="D1" s="4"/>
      <c r="E1" s="4"/>
      <c r="F1" s="4"/>
      <c r="G1" s="4"/>
      <c r="H1" s="4"/>
      <c r="I1" s="4"/>
      <c r="J1" s="4"/>
      <c r="K1" s="4"/>
      <c r="L1" s="4"/>
      <c r="M1" s="4"/>
      <c r="N1" s="4"/>
      <c r="O1" s="4"/>
      <c r="P1" s="4"/>
      <c r="Q1" s="4"/>
      <c r="S1" s="4"/>
    </row>
    <row r="2" spans="1:19" ht="15" customHeight="1" thickTop="1" x14ac:dyDescent="0.35">
      <c r="A2" s="4"/>
      <c r="B2" s="293" t="s">
        <v>136</v>
      </c>
      <c r="C2" s="296" t="s">
        <v>200</v>
      </c>
      <c r="D2" s="296"/>
      <c r="E2" s="296"/>
      <c r="F2" s="296"/>
      <c r="G2" s="107"/>
      <c r="H2" s="277"/>
      <c r="I2" s="107"/>
      <c r="J2" s="269" t="s">
        <v>76</v>
      </c>
      <c r="K2" s="270"/>
      <c r="L2" s="270"/>
      <c r="M2" s="270"/>
      <c r="N2" s="274" t="s">
        <v>60</v>
      </c>
      <c r="O2" s="303">
        <f>B.I._10</f>
        <v>1.1000000000000001</v>
      </c>
      <c r="P2" s="304"/>
      <c r="Q2" s="304"/>
      <c r="R2" s="305"/>
      <c r="S2" s="4"/>
    </row>
    <row r="3" spans="1:19" ht="15" customHeight="1" x14ac:dyDescent="0.35">
      <c r="A3" s="4"/>
      <c r="B3" s="294"/>
      <c r="C3" s="297"/>
      <c r="D3" s="297"/>
      <c r="E3" s="297"/>
      <c r="F3" s="297"/>
      <c r="G3" s="107"/>
      <c r="H3" s="278"/>
      <c r="I3" s="107"/>
      <c r="J3" s="271"/>
      <c r="K3" s="212"/>
      <c r="L3" s="212"/>
      <c r="M3" s="212"/>
      <c r="N3" s="275"/>
      <c r="O3" s="306"/>
      <c r="P3" s="307"/>
      <c r="Q3" s="307"/>
      <c r="R3" s="308"/>
      <c r="S3" s="4"/>
    </row>
    <row r="4" spans="1:19" ht="15" customHeight="1" thickBot="1" x14ac:dyDescent="0.4">
      <c r="A4" s="4"/>
      <c r="B4" s="295"/>
      <c r="C4" s="298"/>
      <c r="D4" s="298"/>
      <c r="E4" s="298"/>
      <c r="F4" s="298"/>
      <c r="G4" s="107"/>
      <c r="H4" s="279"/>
      <c r="I4" s="107"/>
      <c r="J4" s="272"/>
      <c r="K4" s="273"/>
      <c r="L4" s="273"/>
      <c r="M4" s="273"/>
      <c r="N4" s="276"/>
      <c r="O4" s="309"/>
      <c r="P4" s="310"/>
      <c r="Q4" s="310"/>
      <c r="R4" s="311"/>
      <c r="S4" s="4"/>
    </row>
    <row r="5" spans="1:19" s="16" customFormat="1" ht="9.9499999999999993" customHeight="1" thickTop="1" thickBot="1" x14ac:dyDescent="0.4">
      <c r="A5" s="15"/>
      <c r="B5" s="107"/>
      <c r="C5" s="132"/>
      <c r="D5" s="132"/>
      <c r="E5" s="107"/>
      <c r="F5" s="107"/>
      <c r="G5" s="107"/>
      <c r="H5" s="107"/>
      <c r="I5" s="107"/>
      <c r="J5" s="107"/>
      <c r="K5" s="107"/>
      <c r="L5" s="107"/>
      <c r="M5" s="107"/>
      <c r="N5" s="107"/>
      <c r="O5" s="107"/>
      <c r="P5" s="107"/>
      <c r="Q5" s="107"/>
      <c r="R5" s="133"/>
      <c r="S5" s="15"/>
    </row>
    <row r="6" spans="1:19" s="16" customFormat="1" ht="22.5" thickTop="1" thickBot="1" x14ac:dyDescent="0.4">
      <c r="A6" s="15"/>
      <c r="B6" s="289" t="s">
        <v>15</v>
      </c>
      <c r="C6" s="290"/>
      <c r="D6" s="181" t="s">
        <v>14</v>
      </c>
      <c r="E6" s="182"/>
      <c r="F6" s="183" t="s">
        <v>16</v>
      </c>
      <c r="G6" s="182"/>
      <c r="H6" s="183" t="s">
        <v>142</v>
      </c>
      <c r="I6" s="134"/>
      <c r="J6" s="291" t="s">
        <v>77</v>
      </c>
      <c r="K6" s="292"/>
      <c r="L6" s="135"/>
      <c r="M6" s="291" t="s">
        <v>78</v>
      </c>
      <c r="N6" s="292"/>
      <c r="O6" s="135"/>
      <c r="P6" s="183" t="s">
        <v>2</v>
      </c>
      <c r="Q6" s="135"/>
      <c r="R6" s="183" t="s">
        <v>60</v>
      </c>
      <c r="S6" s="15"/>
    </row>
    <row r="7" spans="1:19" s="16" customFormat="1" ht="9.9499999999999993" customHeight="1" thickTop="1" x14ac:dyDescent="0.35">
      <c r="A7" s="15"/>
      <c r="B7" s="107"/>
      <c r="C7" s="136"/>
      <c r="D7" s="136"/>
      <c r="E7" s="107"/>
      <c r="F7" s="133"/>
      <c r="G7" s="107"/>
      <c r="H7" s="133"/>
      <c r="I7" s="107"/>
      <c r="J7" s="107"/>
      <c r="K7" s="107"/>
      <c r="L7" s="136"/>
      <c r="M7" s="107"/>
      <c r="N7" s="107"/>
      <c r="O7" s="136"/>
      <c r="P7" s="107"/>
      <c r="Q7" s="136"/>
      <c r="R7" s="107"/>
      <c r="S7" s="15"/>
    </row>
    <row r="8" spans="1:19" s="16" customFormat="1" ht="63" x14ac:dyDescent="0.35">
      <c r="A8" s="15"/>
      <c r="B8" s="112">
        <v>1</v>
      </c>
      <c r="C8" s="120" t="s">
        <v>161</v>
      </c>
      <c r="D8" s="121" t="s">
        <v>85</v>
      </c>
      <c r="E8" s="107"/>
      <c r="F8" s="108">
        <v>1</v>
      </c>
      <c r="G8" s="107"/>
      <c r="H8" s="122">
        <f>P8*$O$2</f>
        <v>4180</v>
      </c>
      <c r="I8" s="107"/>
      <c r="J8" s="123">
        <v>3800</v>
      </c>
      <c r="K8" s="124">
        <f t="shared" ref="K8:K17" si="0">$J8*$F8</f>
        <v>3800</v>
      </c>
      <c r="L8" s="125"/>
      <c r="M8" s="123"/>
      <c r="N8" s="124">
        <f t="shared" ref="N8:N17" si="1">$M8*$F8</f>
        <v>0</v>
      </c>
      <c r="O8" s="125"/>
      <c r="P8" s="126">
        <f t="shared" ref="P8:P17" si="2">N8+K8</f>
        <v>3800</v>
      </c>
      <c r="Q8" s="125"/>
      <c r="R8" s="126">
        <f>H8-P8</f>
        <v>380</v>
      </c>
      <c r="S8" s="15"/>
    </row>
    <row r="9" spans="1:19" s="16" customFormat="1" ht="20.100000000000001" customHeight="1" x14ac:dyDescent="0.35">
      <c r="A9" s="15"/>
      <c r="B9" s="112">
        <v>2</v>
      </c>
      <c r="C9" s="120" t="s">
        <v>160</v>
      </c>
      <c r="D9" s="121" t="s">
        <v>84</v>
      </c>
      <c r="E9" s="107"/>
      <c r="F9" s="108">
        <v>1</v>
      </c>
      <c r="G9" s="107"/>
      <c r="H9" s="122">
        <f>P9*$O$2</f>
        <v>0</v>
      </c>
      <c r="I9" s="107"/>
      <c r="J9" s="123"/>
      <c r="K9" s="124">
        <f t="shared" si="0"/>
        <v>0</v>
      </c>
      <c r="L9" s="125"/>
      <c r="M9" s="123"/>
      <c r="N9" s="124">
        <f t="shared" si="1"/>
        <v>0</v>
      </c>
      <c r="O9" s="125"/>
      <c r="P9" s="126">
        <f t="shared" si="2"/>
        <v>0</v>
      </c>
      <c r="Q9" s="125"/>
      <c r="R9" s="126">
        <f t="shared" ref="R9:R17" si="3">H9-P9</f>
        <v>0</v>
      </c>
      <c r="S9" s="15"/>
    </row>
    <row r="10" spans="1:19" s="16" customFormat="1" ht="21" x14ac:dyDescent="0.35">
      <c r="A10" s="15"/>
      <c r="B10" s="112">
        <v>3</v>
      </c>
      <c r="C10" s="120" t="s">
        <v>201</v>
      </c>
      <c r="D10" s="121" t="s">
        <v>85</v>
      </c>
      <c r="E10" s="107"/>
      <c r="F10" s="108">
        <v>2</v>
      </c>
      <c r="G10" s="107"/>
      <c r="H10" s="122">
        <f t="shared" ref="H10:H17" si="4">P10*$O$2</f>
        <v>0</v>
      </c>
      <c r="I10" s="107"/>
      <c r="J10" s="127"/>
      <c r="K10" s="124">
        <f t="shared" si="0"/>
        <v>0</v>
      </c>
      <c r="L10" s="125"/>
      <c r="M10" s="128"/>
      <c r="N10" s="124">
        <f t="shared" si="1"/>
        <v>0</v>
      </c>
      <c r="O10" s="125"/>
      <c r="P10" s="126">
        <f t="shared" si="2"/>
        <v>0</v>
      </c>
      <c r="Q10" s="125"/>
      <c r="R10" s="126">
        <f t="shared" si="3"/>
        <v>0</v>
      </c>
      <c r="S10" s="15"/>
    </row>
    <row r="11" spans="1:19" s="16" customFormat="1" ht="20.100000000000001" customHeight="1" x14ac:dyDescent="0.35">
      <c r="A11" s="15"/>
      <c r="B11" s="112">
        <v>4</v>
      </c>
      <c r="C11" s="129" t="s">
        <v>162</v>
      </c>
      <c r="D11" s="130" t="s">
        <v>85</v>
      </c>
      <c r="E11" s="107"/>
      <c r="F11" s="108">
        <v>1</v>
      </c>
      <c r="G11" s="107"/>
      <c r="H11" s="122">
        <f t="shared" si="4"/>
        <v>0</v>
      </c>
      <c r="I11" s="107"/>
      <c r="J11" s="127"/>
      <c r="K11" s="124">
        <f t="shared" si="0"/>
        <v>0</v>
      </c>
      <c r="L11" s="125"/>
      <c r="M11" s="128"/>
      <c r="N11" s="124">
        <f t="shared" si="1"/>
        <v>0</v>
      </c>
      <c r="O11" s="125"/>
      <c r="P11" s="126">
        <f t="shared" si="2"/>
        <v>0</v>
      </c>
      <c r="Q11" s="125"/>
      <c r="R11" s="126">
        <f t="shared" si="3"/>
        <v>0</v>
      </c>
      <c r="S11" s="15"/>
    </row>
    <row r="12" spans="1:19" s="16" customFormat="1" ht="20.100000000000001" customHeight="1" x14ac:dyDescent="0.35">
      <c r="A12" s="15"/>
      <c r="B12" s="112">
        <v>5</v>
      </c>
      <c r="C12" s="131"/>
      <c r="D12" s="130"/>
      <c r="E12" s="107"/>
      <c r="F12" s="108"/>
      <c r="G12" s="107"/>
      <c r="H12" s="122">
        <f t="shared" si="4"/>
        <v>0</v>
      </c>
      <c r="I12" s="107"/>
      <c r="J12" s="127"/>
      <c r="K12" s="124">
        <f t="shared" si="0"/>
        <v>0</v>
      </c>
      <c r="L12" s="125"/>
      <c r="M12" s="128"/>
      <c r="N12" s="124">
        <f t="shared" si="1"/>
        <v>0</v>
      </c>
      <c r="O12" s="125"/>
      <c r="P12" s="126">
        <f t="shared" si="2"/>
        <v>0</v>
      </c>
      <c r="Q12" s="125"/>
      <c r="R12" s="126">
        <f t="shared" si="3"/>
        <v>0</v>
      </c>
      <c r="S12" s="15"/>
    </row>
    <row r="13" spans="1:19" s="16" customFormat="1" ht="20.100000000000001" customHeight="1" x14ac:dyDescent="0.35">
      <c r="A13" s="15"/>
      <c r="B13" s="112">
        <v>6</v>
      </c>
      <c r="C13" s="131"/>
      <c r="D13" s="130"/>
      <c r="E13" s="107"/>
      <c r="F13" s="108"/>
      <c r="G13" s="107"/>
      <c r="H13" s="122">
        <f t="shared" si="4"/>
        <v>0</v>
      </c>
      <c r="I13" s="107"/>
      <c r="J13" s="127"/>
      <c r="K13" s="124">
        <f t="shared" si="0"/>
        <v>0</v>
      </c>
      <c r="L13" s="125"/>
      <c r="M13" s="128"/>
      <c r="N13" s="124">
        <f t="shared" si="1"/>
        <v>0</v>
      </c>
      <c r="O13" s="125"/>
      <c r="P13" s="126">
        <f t="shared" si="2"/>
        <v>0</v>
      </c>
      <c r="Q13" s="125"/>
      <c r="R13" s="126">
        <f t="shared" si="3"/>
        <v>0</v>
      </c>
      <c r="S13" s="15"/>
    </row>
    <row r="14" spans="1:19" s="16" customFormat="1" ht="20.100000000000001" customHeight="1" x14ac:dyDescent="0.35">
      <c r="A14" s="15"/>
      <c r="B14" s="112">
        <v>7</v>
      </c>
      <c r="C14" s="131"/>
      <c r="D14" s="130"/>
      <c r="E14" s="107"/>
      <c r="F14" s="108"/>
      <c r="G14" s="107"/>
      <c r="H14" s="122">
        <f t="shared" si="4"/>
        <v>0</v>
      </c>
      <c r="I14" s="107"/>
      <c r="J14" s="127"/>
      <c r="K14" s="124">
        <f t="shared" si="0"/>
        <v>0</v>
      </c>
      <c r="L14" s="125"/>
      <c r="M14" s="128"/>
      <c r="N14" s="124">
        <f t="shared" si="1"/>
        <v>0</v>
      </c>
      <c r="O14" s="125"/>
      <c r="P14" s="126">
        <f t="shared" si="2"/>
        <v>0</v>
      </c>
      <c r="Q14" s="125"/>
      <c r="R14" s="126">
        <f t="shared" si="3"/>
        <v>0</v>
      </c>
      <c r="S14" s="15"/>
    </row>
    <row r="15" spans="1:19" s="16" customFormat="1" ht="20.100000000000001" customHeight="1" x14ac:dyDescent="0.35">
      <c r="A15" s="15"/>
      <c r="B15" s="112">
        <v>8</v>
      </c>
      <c r="C15" s="131"/>
      <c r="D15" s="130"/>
      <c r="E15" s="107"/>
      <c r="F15" s="108"/>
      <c r="G15" s="107"/>
      <c r="H15" s="122">
        <f t="shared" si="4"/>
        <v>0</v>
      </c>
      <c r="I15" s="107"/>
      <c r="J15" s="123"/>
      <c r="K15" s="124">
        <f t="shared" si="0"/>
        <v>0</v>
      </c>
      <c r="L15" s="125"/>
      <c r="M15" s="128"/>
      <c r="N15" s="124">
        <f t="shared" si="1"/>
        <v>0</v>
      </c>
      <c r="O15" s="125"/>
      <c r="P15" s="126">
        <f t="shared" si="2"/>
        <v>0</v>
      </c>
      <c r="Q15" s="125"/>
      <c r="R15" s="126">
        <f t="shared" si="3"/>
        <v>0</v>
      </c>
      <c r="S15" s="15"/>
    </row>
    <row r="16" spans="1:19" s="16" customFormat="1" ht="20.100000000000001" customHeight="1" x14ac:dyDescent="0.35">
      <c r="A16" s="15"/>
      <c r="B16" s="112">
        <v>9</v>
      </c>
      <c r="C16" s="131"/>
      <c r="D16" s="130"/>
      <c r="E16" s="107"/>
      <c r="F16" s="108"/>
      <c r="G16" s="107"/>
      <c r="H16" s="122">
        <f t="shared" si="4"/>
        <v>0</v>
      </c>
      <c r="I16" s="107"/>
      <c r="J16" s="123"/>
      <c r="K16" s="124">
        <f t="shared" si="0"/>
        <v>0</v>
      </c>
      <c r="L16" s="125"/>
      <c r="M16" s="128"/>
      <c r="N16" s="124">
        <f t="shared" si="1"/>
        <v>0</v>
      </c>
      <c r="O16" s="125"/>
      <c r="P16" s="126">
        <f t="shared" si="2"/>
        <v>0</v>
      </c>
      <c r="Q16" s="125"/>
      <c r="R16" s="126">
        <f t="shared" si="3"/>
        <v>0</v>
      </c>
      <c r="S16" s="15"/>
    </row>
    <row r="17" spans="1:19" s="16" customFormat="1" ht="21" x14ac:dyDescent="0.35">
      <c r="A17" s="15"/>
      <c r="B17" s="112">
        <v>10</v>
      </c>
      <c r="C17" s="105"/>
      <c r="D17" s="106"/>
      <c r="E17" s="107"/>
      <c r="F17" s="108"/>
      <c r="G17" s="107"/>
      <c r="H17" s="122">
        <f t="shared" si="4"/>
        <v>0</v>
      </c>
      <c r="I17" s="107"/>
      <c r="J17" s="123"/>
      <c r="K17" s="124">
        <f t="shared" si="0"/>
        <v>0</v>
      </c>
      <c r="L17" s="125"/>
      <c r="M17" s="128"/>
      <c r="N17" s="124">
        <f t="shared" si="1"/>
        <v>0</v>
      </c>
      <c r="O17" s="125"/>
      <c r="P17" s="126">
        <f t="shared" si="2"/>
        <v>0</v>
      </c>
      <c r="Q17" s="125"/>
      <c r="R17" s="126">
        <f t="shared" si="3"/>
        <v>0</v>
      </c>
      <c r="S17" s="15"/>
    </row>
    <row r="18" spans="1:19" s="16" customFormat="1" ht="9.9499999999999993" customHeight="1" thickBot="1" x14ac:dyDescent="0.4">
      <c r="A18" s="15"/>
      <c r="B18" s="107"/>
      <c r="C18" s="251"/>
      <c r="D18" s="251"/>
      <c r="E18" s="107"/>
      <c r="F18" s="107"/>
      <c r="G18" s="107"/>
      <c r="H18" s="137"/>
      <c r="I18" s="107"/>
      <c r="J18" s="151"/>
      <c r="K18" s="151"/>
      <c r="L18" s="139"/>
      <c r="M18" s="151"/>
      <c r="N18" s="151"/>
      <c r="O18" s="139"/>
      <c r="P18" s="140"/>
      <c r="Q18" s="139"/>
      <c r="R18" s="141"/>
      <c r="S18" s="15"/>
    </row>
    <row r="19" spans="1:19" s="16" customFormat="1" ht="21" customHeight="1" thickTop="1" thickBot="1" x14ac:dyDescent="0.4">
      <c r="A19" s="15"/>
      <c r="B19" s="226" t="s">
        <v>17</v>
      </c>
      <c r="C19" s="227"/>
      <c r="D19" s="228"/>
      <c r="E19" s="133"/>
      <c r="F19" s="142">
        <f>Obra_Instalaciones_C*$O$2</f>
        <v>4180</v>
      </c>
      <c r="G19" s="107"/>
      <c r="H19" s="184">
        <f>SUM(H8:H17)</f>
        <v>4180</v>
      </c>
      <c r="I19" s="107"/>
      <c r="J19" s="143" t="s">
        <v>79</v>
      </c>
      <c r="K19" s="144">
        <f>SUM(K8:K17)</f>
        <v>3800</v>
      </c>
      <c r="L19" s="145"/>
      <c r="M19" s="143" t="s">
        <v>80</v>
      </c>
      <c r="N19" s="144">
        <f>SUM(N8:N17)</f>
        <v>0</v>
      </c>
      <c r="O19" s="146"/>
      <c r="P19" s="147">
        <f>SUM(P8:P17)</f>
        <v>3800</v>
      </c>
      <c r="Q19" s="146"/>
      <c r="R19" s="147">
        <f>SUM(R8:R17)</f>
        <v>380</v>
      </c>
      <c r="S19" s="15"/>
    </row>
    <row r="20" spans="1:19" ht="9.9499999999999993" customHeight="1" thickTop="1" thickBot="1" x14ac:dyDescent="0.4">
      <c r="A20" s="115"/>
      <c r="B20" s="107"/>
      <c r="C20" s="107"/>
      <c r="D20" s="107"/>
      <c r="E20" s="107"/>
      <c r="F20" s="107"/>
      <c r="G20" s="107"/>
      <c r="H20" s="107"/>
      <c r="I20" s="107"/>
      <c r="J20" s="107"/>
      <c r="K20" s="107"/>
      <c r="L20" s="107"/>
      <c r="M20" s="107"/>
      <c r="N20" s="107"/>
      <c r="O20" s="107"/>
      <c r="P20" s="107"/>
      <c r="Q20" s="107"/>
      <c r="R20" s="133"/>
      <c r="S20" s="4"/>
    </row>
    <row r="21" spans="1:19" ht="15" customHeight="1" thickTop="1" x14ac:dyDescent="0.35">
      <c r="A21" s="4"/>
      <c r="B21" s="293" t="s">
        <v>137</v>
      </c>
      <c r="C21" s="296" t="s">
        <v>141</v>
      </c>
      <c r="D21" s="296"/>
      <c r="E21" s="296"/>
      <c r="F21" s="296"/>
      <c r="G21" s="107"/>
      <c r="H21" s="277"/>
      <c r="I21" s="107"/>
      <c r="J21" s="269" t="s">
        <v>76</v>
      </c>
      <c r="K21" s="270"/>
      <c r="L21" s="270"/>
      <c r="M21" s="270"/>
      <c r="N21" s="274" t="s">
        <v>60</v>
      </c>
      <c r="O21" s="303">
        <f>B.I._10</f>
        <v>1.1000000000000001</v>
      </c>
      <c r="P21" s="304"/>
      <c r="Q21" s="304"/>
      <c r="R21" s="305"/>
      <c r="S21" s="4"/>
    </row>
    <row r="22" spans="1:19" ht="15" customHeight="1" x14ac:dyDescent="0.35">
      <c r="A22" s="4"/>
      <c r="B22" s="294"/>
      <c r="C22" s="297"/>
      <c r="D22" s="297"/>
      <c r="E22" s="297"/>
      <c r="F22" s="297"/>
      <c r="G22" s="107"/>
      <c r="H22" s="278"/>
      <c r="I22" s="107"/>
      <c r="J22" s="271"/>
      <c r="K22" s="212"/>
      <c r="L22" s="212"/>
      <c r="M22" s="212"/>
      <c r="N22" s="275"/>
      <c r="O22" s="306"/>
      <c r="P22" s="307"/>
      <c r="Q22" s="307"/>
      <c r="R22" s="308"/>
      <c r="S22" s="4"/>
    </row>
    <row r="23" spans="1:19" ht="15" customHeight="1" thickBot="1" x14ac:dyDescent="0.4">
      <c r="A23" s="4"/>
      <c r="B23" s="295"/>
      <c r="C23" s="298"/>
      <c r="D23" s="298"/>
      <c r="E23" s="298"/>
      <c r="F23" s="298"/>
      <c r="G23" s="107"/>
      <c r="H23" s="279"/>
      <c r="I23" s="107"/>
      <c r="J23" s="272"/>
      <c r="K23" s="273"/>
      <c r="L23" s="273"/>
      <c r="M23" s="273"/>
      <c r="N23" s="276"/>
      <c r="O23" s="309"/>
      <c r="P23" s="310"/>
      <c r="Q23" s="310"/>
      <c r="R23" s="311"/>
      <c r="S23" s="4"/>
    </row>
    <row r="24" spans="1:19" ht="9.9499999999999993" customHeight="1" thickTop="1" thickBot="1" x14ac:dyDescent="0.4">
      <c r="A24" s="15"/>
      <c r="B24" s="107"/>
      <c r="C24" s="132"/>
      <c r="D24" s="132"/>
      <c r="E24" s="107"/>
      <c r="F24" s="107"/>
      <c r="G24" s="107"/>
      <c r="H24" s="107"/>
      <c r="I24" s="107"/>
      <c r="J24" s="107"/>
      <c r="K24" s="107"/>
      <c r="L24" s="107"/>
      <c r="M24" s="107"/>
      <c r="N24" s="107"/>
      <c r="O24" s="107"/>
      <c r="P24" s="107"/>
      <c r="Q24" s="107"/>
      <c r="R24" s="133"/>
      <c r="S24" s="4"/>
    </row>
    <row r="25" spans="1:19" ht="22.5" thickTop="1" thickBot="1" x14ac:dyDescent="0.4">
      <c r="A25" s="15"/>
      <c r="B25" s="289" t="s">
        <v>15</v>
      </c>
      <c r="C25" s="290"/>
      <c r="D25" s="181" t="s">
        <v>14</v>
      </c>
      <c r="E25" s="182"/>
      <c r="F25" s="183" t="s">
        <v>16</v>
      </c>
      <c r="G25" s="182"/>
      <c r="H25" s="183" t="s">
        <v>142</v>
      </c>
      <c r="I25" s="134"/>
      <c r="J25" s="291" t="s">
        <v>77</v>
      </c>
      <c r="K25" s="292"/>
      <c r="L25" s="135"/>
      <c r="M25" s="291" t="s">
        <v>78</v>
      </c>
      <c r="N25" s="292"/>
      <c r="O25" s="135"/>
      <c r="P25" s="183" t="s">
        <v>2</v>
      </c>
      <c r="Q25" s="135"/>
      <c r="R25" s="183" t="s">
        <v>60</v>
      </c>
      <c r="S25" s="4"/>
    </row>
    <row r="26" spans="1:19" ht="9.9499999999999993" customHeight="1" thickTop="1" x14ac:dyDescent="0.35">
      <c r="A26" s="15"/>
      <c r="B26" s="107"/>
      <c r="C26" s="136"/>
      <c r="D26" s="136"/>
      <c r="E26" s="107"/>
      <c r="F26" s="133"/>
      <c r="G26" s="107"/>
      <c r="H26" s="133"/>
      <c r="I26" s="107"/>
      <c r="J26" s="107"/>
      <c r="K26" s="107"/>
      <c r="L26" s="136"/>
      <c r="M26" s="107"/>
      <c r="N26" s="107"/>
      <c r="O26" s="136"/>
      <c r="P26" s="107"/>
      <c r="Q26" s="107"/>
      <c r="R26" s="107"/>
      <c r="S26" s="4"/>
    </row>
    <row r="27" spans="1:19" ht="42" x14ac:dyDescent="0.35">
      <c r="A27" s="15"/>
      <c r="B27" s="112">
        <v>1</v>
      </c>
      <c r="C27" s="120" t="s">
        <v>148</v>
      </c>
      <c r="D27" s="106"/>
      <c r="E27" s="107"/>
      <c r="F27" s="108">
        <v>1</v>
      </c>
      <c r="G27" s="107"/>
      <c r="H27" s="122">
        <f>P27*$O$21</f>
        <v>660</v>
      </c>
      <c r="I27" s="107"/>
      <c r="J27" s="123">
        <v>600</v>
      </c>
      <c r="K27" s="124">
        <f t="shared" ref="K27:K36" si="5">$J27*$F27</f>
        <v>600</v>
      </c>
      <c r="L27" s="125"/>
      <c r="M27" s="123"/>
      <c r="N27" s="124">
        <f t="shared" ref="N27:N36" si="6">$M27*$F27</f>
        <v>0</v>
      </c>
      <c r="O27" s="125"/>
      <c r="P27" s="126">
        <f t="shared" ref="P27:P36" si="7">N27+K27</f>
        <v>600</v>
      </c>
      <c r="Q27" s="107"/>
      <c r="R27" s="126">
        <f>H27-P27</f>
        <v>60</v>
      </c>
      <c r="S27" s="4"/>
    </row>
    <row r="28" spans="1:19" ht="21" x14ac:dyDescent="0.35">
      <c r="A28" s="15"/>
      <c r="B28" s="112">
        <v>2</v>
      </c>
      <c r="C28" s="120"/>
      <c r="D28" s="106"/>
      <c r="E28" s="107"/>
      <c r="F28" s="108"/>
      <c r="G28" s="107"/>
      <c r="H28" s="122">
        <f t="shared" ref="H28:H36" si="8">P28*$O$21</f>
        <v>0</v>
      </c>
      <c r="I28" s="107"/>
      <c r="J28" s="127"/>
      <c r="K28" s="124">
        <f t="shared" si="5"/>
        <v>0</v>
      </c>
      <c r="L28" s="125"/>
      <c r="M28" s="128"/>
      <c r="N28" s="124">
        <f t="shared" si="6"/>
        <v>0</v>
      </c>
      <c r="O28" s="125"/>
      <c r="P28" s="126">
        <f t="shared" si="7"/>
        <v>0</v>
      </c>
      <c r="Q28" s="107"/>
      <c r="R28" s="126">
        <f t="shared" ref="R28:R36" si="9">H28-P28</f>
        <v>0</v>
      </c>
      <c r="S28" s="4"/>
    </row>
    <row r="29" spans="1:19" ht="21" x14ac:dyDescent="0.35">
      <c r="A29" s="15"/>
      <c r="B29" s="112">
        <v>3</v>
      </c>
      <c r="C29" s="120"/>
      <c r="D29" s="130"/>
      <c r="E29" s="107"/>
      <c r="F29" s="108"/>
      <c r="G29" s="107"/>
      <c r="H29" s="122">
        <f>P29*$O$21</f>
        <v>0</v>
      </c>
      <c r="I29" s="107"/>
      <c r="J29" s="127"/>
      <c r="K29" s="124">
        <f t="shared" si="5"/>
        <v>0</v>
      </c>
      <c r="L29" s="125"/>
      <c r="M29" s="128"/>
      <c r="N29" s="124">
        <f t="shared" si="6"/>
        <v>0</v>
      </c>
      <c r="O29" s="125"/>
      <c r="P29" s="126">
        <f t="shared" si="7"/>
        <v>0</v>
      </c>
      <c r="Q29" s="107"/>
      <c r="R29" s="126">
        <f t="shared" si="9"/>
        <v>0</v>
      </c>
      <c r="S29" s="4"/>
    </row>
    <row r="30" spans="1:19" ht="21" x14ac:dyDescent="0.35">
      <c r="A30" s="15"/>
      <c r="B30" s="112">
        <v>4</v>
      </c>
      <c r="C30" s="131"/>
      <c r="D30" s="130"/>
      <c r="E30" s="107"/>
      <c r="F30" s="108"/>
      <c r="G30" s="107"/>
      <c r="H30" s="122">
        <f t="shared" si="8"/>
        <v>0</v>
      </c>
      <c r="I30" s="107"/>
      <c r="J30" s="127"/>
      <c r="K30" s="124">
        <f t="shared" si="5"/>
        <v>0</v>
      </c>
      <c r="L30" s="125"/>
      <c r="M30" s="128"/>
      <c r="N30" s="124">
        <f t="shared" si="6"/>
        <v>0</v>
      </c>
      <c r="O30" s="125"/>
      <c r="P30" s="126">
        <f t="shared" si="7"/>
        <v>0</v>
      </c>
      <c r="Q30" s="107"/>
      <c r="R30" s="126">
        <f t="shared" si="9"/>
        <v>0</v>
      </c>
      <c r="S30" s="4"/>
    </row>
    <row r="31" spans="1:19" ht="21" x14ac:dyDescent="0.35">
      <c r="A31" s="15"/>
      <c r="B31" s="112">
        <v>5</v>
      </c>
      <c r="C31" s="131"/>
      <c r="D31" s="130"/>
      <c r="E31" s="107"/>
      <c r="F31" s="108"/>
      <c r="G31" s="107"/>
      <c r="H31" s="122">
        <f t="shared" si="8"/>
        <v>0</v>
      </c>
      <c r="I31" s="107"/>
      <c r="J31" s="127"/>
      <c r="K31" s="124">
        <f t="shared" si="5"/>
        <v>0</v>
      </c>
      <c r="L31" s="125"/>
      <c r="M31" s="128"/>
      <c r="N31" s="124">
        <f t="shared" si="6"/>
        <v>0</v>
      </c>
      <c r="O31" s="125"/>
      <c r="P31" s="126">
        <f t="shared" si="7"/>
        <v>0</v>
      </c>
      <c r="Q31" s="107"/>
      <c r="R31" s="126">
        <f t="shared" si="9"/>
        <v>0</v>
      </c>
      <c r="S31" s="4"/>
    </row>
    <row r="32" spans="1:19" ht="21" x14ac:dyDescent="0.35">
      <c r="A32" s="15"/>
      <c r="B32" s="112">
        <v>6</v>
      </c>
      <c r="C32" s="131"/>
      <c r="D32" s="130"/>
      <c r="E32" s="107"/>
      <c r="F32" s="108"/>
      <c r="G32" s="107"/>
      <c r="H32" s="122">
        <f t="shared" si="8"/>
        <v>0</v>
      </c>
      <c r="I32" s="107"/>
      <c r="J32" s="127"/>
      <c r="K32" s="124">
        <f t="shared" si="5"/>
        <v>0</v>
      </c>
      <c r="L32" s="125"/>
      <c r="M32" s="128"/>
      <c r="N32" s="124">
        <f t="shared" si="6"/>
        <v>0</v>
      </c>
      <c r="O32" s="125"/>
      <c r="P32" s="126">
        <f t="shared" si="7"/>
        <v>0</v>
      </c>
      <c r="Q32" s="107"/>
      <c r="R32" s="126">
        <f t="shared" si="9"/>
        <v>0</v>
      </c>
      <c r="S32" s="4"/>
    </row>
    <row r="33" spans="1:19" ht="21" x14ac:dyDescent="0.35">
      <c r="A33" s="15"/>
      <c r="B33" s="112">
        <v>7</v>
      </c>
      <c r="C33" s="131"/>
      <c r="D33" s="130"/>
      <c r="E33" s="107"/>
      <c r="F33" s="108"/>
      <c r="G33" s="107"/>
      <c r="H33" s="122">
        <f t="shared" si="8"/>
        <v>0</v>
      </c>
      <c r="I33" s="107"/>
      <c r="J33" s="123"/>
      <c r="K33" s="124">
        <f t="shared" si="5"/>
        <v>0</v>
      </c>
      <c r="L33" s="125"/>
      <c r="M33" s="128"/>
      <c r="N33" s="124">
        <f t="shared" si="6"/>
        <v>0</v>
      </c>
      <c r="O33" s="125"/>
      <c r="P33" s="126">
        <f t="shared" si="7"/>
        <v>0</v>
      </c>
      <c r="Q33" s="107"/>
      <c r="R33" s="126">
        <f t="shared" si="9"/>
        <v>0</v>
      </c>
      <c r="S33" s="4"/>
    </row>
    <row r="34" spans="1:19" ht="21" x14ac:dyDescent="0.35">
      <c r="A34" s="15"/>
      <c r="B34" s="112">
        <v>8</v>
      </c>
      <c r="C34" s="131"/>
      <c r="D34" s="130"/>
      <c r="E34" s="107"/>
      <c r="F34" s="108"/>
      <c r="G34" s="107"/>
      <c r="H34" s="122">
        <f t="shared" si="8"/>
        <v>0</v>
      </c>
      <c r="I34" s="107"/>
      <c r="J34" s="123"/>
      <c r="K34" s="124">
        <f t="shared" si="5"/>
        <v>0</v>
      </c>
      <c r="L34" s="125"/>
      <c r="M34" s="128"/>
      <c r="N34" s="124">
        <f t="shared" si="6"/>
        <v>0</v>
      </c>
      <c r="O34" s="125"/>
      <c r="P34" s="126">
        <f t="shared" si="7"/>
        <v>0</v>
      </c>
      <c r="Q34" s="107"/>
      <c r="R34" s="126">
        <f t="shared" si="9"/>
        <v>0</v>
      </c>
      <c r="S34" s="4"/>
    </row>
    <row r="35" spans="1:19" ht="21" x14ac:dyDescent="0.35">
      <c r="A35" s="15"/>
      <c r="B35" s="112">
        <v>9</v>
      </c>
      <c r="C35" s="105"/>
      <c r="D35" s="106"/>
      <c r="E35" s="107"/>
      <c r="F35" s="108"/>
      <c r="G35" s="107"/>
      <c r="H35" s="122">
        <f t="shared" si="8"/>
        <v>0</v>
      </c>
      <c r="I35" s="107"/>
      <c r="J35" s="123"/>
      <c r="K35" s="124">
        <f t="shared" si="5"/>
        <v>0</v>
      </c>
      <c r="L35" s="125"/>
      <c r="M35" s="128"/>
      <c r="N35" s="124">
        <f t="shared" si="6"/>
        <v>0</v>
      </c>
      <c r="O35" s="125"/>
      <c r="P35" s="126">
        <f t="shared" si="7"/>
        <v>0</v>
      </c>
      <c r="Q35" s="107"/>
      <c r="R35" s="126">
        <f t="shared" si="9"/>
        <v>0</v>
      </c>
      <c r="S35" s="4"/>
    </row>
    <row r="36" spans="1:19" ht="21" x14ac:dyDescent="0.35">
      <c r="A36" s="15"/>
      <c r="B36" s="112">
        <v>10</v>
      </c>
      <c r="C36" s="131"/>
      <c r="D36" s="130"/>
      <c r="E36" s="107"/>
      <c r="F36" s="108"/>
      <c r="G36" s="107"/>
      <c r="H36" s="122">
        <f t="shared" si="8"/>
        <v>0</v>
      </c>
      <c r="I36" s="107"/>
      <c r="J36" s="123"/>
      <c r="K36" s="124">
        <f t="shared" si="5"/>
        <v>0</v>
      </c>
      <c r="L36" s="125"/>
      <c r="M36" s="128"/>
      <c r="N36" s="124">
        <f t="shared" si="6"/>
        <v>0</v>
      </c>
      <c r="O36" s="125"/>
      <c r="P36" s="126">
        <f t="shared" si="7"/>
        <v>0</v>
      </c>
      <c r="Q36" s="107"/>
      <c r="R36" s="126">
        <f t="shared" si="9"/>
        <v>0</v>
      </c>
      <c r="S36" s="4"/>
    </row>
    <row r="37" spans="1:19" ht="9.9499999999999993" customHeight="1" thickBot="1" x14ac:dyDescent="0.4">
      <c r="A37" s="15"/>
      <c r="B37" s="107"/>
      <c r="C37" s="251"/>
      <c r="D37" s="251"/>
      <c r="E37" s="107"/>
      <c r="F37" s="107"/>
      <c r="G37" s="107"/>
      <c r="H37" s="137"/>
      <c r="I37" s="107"/>
      <c r="J37" s="151"/>
      <c r="K37" s="151"/>
      <c r="L37" s="139"/>
      <c r="M37" s="151"/>
      <c r="N37" s="151"/>
      <c r="O37" s="139"/>
      <c r="P37" s="140"/>
      <c r="Q37" s="107"/>
      <c r="R37" s="141"/>
      <c r="S37" s="4"/>
    </row>
    <row r="38" spans="1:19" ht="22.5" thickTop="1" thickBot="1" x14ac:dyDescent="0.4">
      <c r="A38" s="15"/>
      <c r="B38" s="226" t="s">
        <v>17</v>
      </c>
      <c r="C38" s="227"/>
      <c r="D38" s="228"/>
      <c r="E38" s="133"/>
      <c r="F38" s="142">
        <f>Obra_Instalaciones_A*$O$21</f>
        <v>660</v>
      </c>
      <c r="G38" s="107"/>
      <c r="H38" s="184">
        <f>SUM(H27:H36)</f>
        <v>660</v>
      </c>
      <c r="I38" s="107"/>
      <c r="J38" s="143" t="s">
        <v>79</v>
      </c>
      <c r="K38" s="144">
        <f>SUM(K27:K36)</f>
        <v>600</v>
      </c>
      <c r="L38" s="145"/>
      <c r="M38" s="143" t="s">
        <v>80</v>
      </c>
      <c r="N38" s="144">
        <f>SUM(N27:N36)</f>
        <v>0</v>
      </c>
      <c r="O38" s="146"/>
      <c r="P38" s="147">
        <f>SUM(P27:P36)</f>
        <v>600</v>
      </c>
      <c r="Q38" s="107"/>
      <c r="R38" s="147">
        <f>SUM(R27:R36)</f>
        <v>60</v>
      </c>
      <c r="S38" s="4"/>
    </row>
    <row r="39" spans="1:19" ht="20.25" thickTop="1" x14ac:dyDescent="0.3">
      <c r="A39" s="7"/>
      <c r="B39" s="302"/>
      <c r="C39" s="302"/>
      <c r="D39" s="302"/>
      <c r="E39" s="302"/>
      <c r="F39" s="302"/>
      <c r="G39" s="104"/>
      <c r="H39" s="104"/>
      <c r="I39" s="7"/>
      <c r="J39" s="4"/>
      <c r="K39" s="4"/>
      <c r="L39" s="4"/>
      <c r="M39" s="4"/>
      <c r="N39" s="4"/>
      <c r="O39" s="4"/>
      <c r="P39" s="4"/>
      <c r="Q39" s="4"/>
      <c r="R39" s="4"/>
      <c r="S39" s="4"/>
    </row>
  </sheetData>
  <mergeCells count="23">
    <mergeCell ref="O21:R23"/>
    <mergeCell ref="C18:D18"/>
    <mergeCell ref="B19:D19"/>
    <mergeCell ref="B2:B4"/>
    <mergeCell ref="C2:F4"/>
    <mergeCell ref="B6:C6"/>
    <mergeCell ref="J6:K6"/>
    <mergeCell ref="M6:N6"/>
    <mergeCell ref="O2:R4"/>
    <mergeCell ref="C37:D37"/>
    <mergeCell ref="B38:D38"/>
    <mergeCell ref="B39:F39"/>
    <mergeCell ref="J2:M4"/>
    <mergeCell ref="N2:N4"/>
    <mergeCell ref="J21:M23"/>
    <mergeCell ref="N21:N23"/>
    <mergeCell ref="B21:B23"/>
    <mergeCell ref="C21:F23"/>
    <mergeCell ref="B25:C25"/>
    <mergeCell ref="J25:K25"/>
    <mergeCell ref="M25:N25"/>
    <mergeCell ref="H2:H4"/>
    <mergeCell ref="H21:H23"/>
  </mergeCells>
  <printOptions horizontalCentered="1"/>
  <pageMargins left="0.39370078740157483" right="0.39370078740157483" top="0.74803149606299213" bottom="0.7480314960629921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106</vt:i4>
      </vt:variant>
    </vt:vector>
  </HeadingPairs>
  <TitlesOfParts>
    <vt:vector size="120" baseType="lpstr">
      <vt:lpstr>DATOS</vt:lpstr>
      <vt:lpstr>PORTADA PRESUPUESTO</vt:lpstr>
      <vt:lpstr>RESUMEN OBRA</vt:lpstr>
      <vt:lpstr>Derribos - Albañilería</vt:lpstr>
      <vt:lpstr>Revestimientos - Pavimentos</vt:lpstr>
      <vt:lpstr>Carp_A - Carp_M</vt:lpstr>
      <vt:lpstr>Mobiliario - Electrodomésticos</vt:lpstr>
      <vt:lpstr>Inst_E - Inst_L</vt:lpstr>
      <vt:lpstr>Inst_C - Inst_A</vt:lpstr>
      <vt:lpstr>Pintura</vt:lpstr>
      <vt:lpstr>CALENDARIO - OBRA</vt:lpstr>
      <vt:lpstr>FIRMA</vt:lpstr>
      <vt:lpstr>PORTADA PLANOS</vt:lpstr>
      <vt:lpstr>Memoria de Calidades</vt:lpstr>
      <vt:lpstr>'CALENDARIO - OBRA'!Área_de_impresión</vt:lpstr>
      <vt:lpstr>'Carp_A - Carp_M'!Área_de_impresión</vt:lpstr>
      <vt:lpstr>DATOS!Área_de_impresión</vt:lpstr>
      <vt:lpstr>'Derribos - Albañilería'!Área_de_impresión</vt:lpstr>
      <vt:lpstr>FIRMA!Área_de_impresión</vt:lpstr>
      <vt:lpstr>'Inst_C - Inst_A'!Área_de_impresión</vt:lpstr>
      <vt:lpstr>'Inst_E - Inst_L'!Área_de_impresión</vt:lpstr>
      <vt:lpstr>'Memoria de Calidades'!Área_de_impresión</vt:lpstr>
      <vt:lpstr>'Mobiliario - Electrodomésticos'!Área_de_impresión</vt:lpstr>
      <vt:lpstr>Pintura!Área_de_impresión</vt:lpstr>
      <vt:lpstr>'PORTADA PLANOS'!Área_de_impresión</vt:lpstr>
      <vt:lpstr>'PORTADA PRESUPUESTO'!Área_de_impresión</vt:lpstr>
      <vt:lpstr>'RESUMEN OBRA'!Área_de_impresión</vt:lpstr>
      <vt:lpstr>'Revestimientos - Pavimentos'!Área_de_impresión</vt:lpstr>
      <vt:lpstr>B.I._05</vt:lpstr>
      <vt:lpstr>B.I._10</vt:lpstr>
      <vt:lpstr>B.I._15</vt:lpstr>
      <vt:lpstr>B.I._20</vt:lpstr>
      <vt:lpstr>B.I._AlbañilerÍa</vt:lpstr>
      <vt:lpstr>B.I._Carpinterías_A</vt:lpstr>
      <vt:lpstr>B.I._Carpinterías_M</vt:lpstr>
      <vt:lpstr>B.I._Derribo</vt:lpstr>
      <vt:lpstr>B.I._Electrodomésticos</vt:lpstr>
      <vt:lpstr>B.I._Instalaciones_A</vt:lpstr>
      <vt:lpstr>B.I._Instalaciones_C</vt:lpstr>
      <vt:lpstr>B.I._Instalaciones_E</vt:lpstr>
      <vt:lpstr>B.I._Instalaciones_L</vt:lpstr>
      <vt:lpstr>B.I._Mobiliario</vt:lpstr>
      <vt:lpstr>B.I._Pavimentos</vt:lpstr>
      <vt:lpstr>B.I._Pintura</vt:lpstr>
      <vt:lpstr>B.I._Revestimientos</vt:lpstr>
      <vt:lpstr>Cliente_Fecha</vt:lpstr>
      <vt:lpstr>Cliente_NIF_CIF</vt:lpstr>
      <vt:lpstr>Cliente_Nombre</vt:lpstr>
      <vt:lpstr>Cliente_Obra_Ciudad</vt:lpstr>
      <vt:lpstr>M.O._Albañilería</vt:lpstr>
      <vt:lpstr>M.O._Carpintería_A</vt:lpstr>
      <vt:lpstr>M.O._Carpintería_M</vt:lpstr>
      <vt:lpstr>M.O._Derribos</vt:lpstr>
      <vt:lpstr>M.O._Electrodomésticos</vt:lpstr>
      <vt:lpstr>M.O._Instalaciones_A</vt:lpstr>
      <vt:lpstr>M.O._Instalaciones_C</vt:lpstr>
      <vt:lpstr>M.O._Instalaciones_E</vt:lpstr>
      <vt:lpstr>M.O._Instalaciones_L</vt:lpstr>
      <vt:lpstr>M.O._Mobiliario</vt:lpstr>
      <vt:lpstr>M.O._Pavimentos</vt:lpstr>
      <vt:lpstr>M.O._Pintura</vt:lpstr>
      <vt:lpstr>M.O._Revestimientos</vt:lpstr>
      <vt:lpstr>Mat_Alañilería</vt:lpstr>
      <vt:lpstr>Mat_Carpintería_A</vt:lpstr>
      <vt:lpstr>Mat_Carpintería_M</vt:lpstr>
      <vt:lpstr>Mat_Derribos</vt:lpstr>
      <vt:lpstr>Mat_Electrodomésticos</vt:lpstr>
      <vt:lpstr>Mat_Instalaciones_A</vt:lpstr>
      <vt:lpstr>Mat_Instalaciones_C</vt:lpstr>
      <vt:lpstr>Mat_Instalaciones_E</vt:lpstr>
      <vt:lpstr>Mat_Instalaciones_L</vt:lpstr>
      <vt:lpstr>Mat_Mobiliario</vt:lpstr>
      <vt:lpstr>Mat_Pavimentos</vt:lpstr>
      <vt:lpstr>Mat_Pintura</vt:lpstr>
      <vt:lpstr>Mat_Revestimientos</vt:lpstr>
      <vt:lpstr>Obra_Albañilería</vt:lpstr>
      <vt:lpstr>Obra_Carpintería_A</vt:lpstr>
      <vt:lpstr>Obra_Carpintería_M</vt:lpstr>
      <vt:lpstr>Obra_Derribos</vt:lpstr>
      <vt:lpstr>Obra_Electrodomésticos</vt:lpstr>
      <vt:lpstr>Obra_Instalaciones_A</vt:lpstr>
      <vt:lpstr>Obra_Instalaciones_C</vt:lpstr>
      <vt:lpstr>Obra_Instalaciones_E</vt:lpstr>
      <vt:lpstr>Obra_Instalaciones_L</vt:lpstr>
      <vt:lpstr>Obra_Mobiliario</vt:lpstr>
      <vt:lpstr>Obra_Pavimentos</vt:lpstr>
      <vt:lpstr>Obra_Pintura</vt:lpstr>
      <vt:lpstr>Obra_Revestimientos</vt:lpstr>
      <vt:lpstr>FIRMA!Print_Area</vt:lpstr>
      <vt:lpstr>'PORTADA PLANOS'!Print_Area</vt:lpstr>
      <vt:lpstr>'PORTADA PRESUPUESTO'!Print_Area</vt:lpstr>
      <vt:lpstr>FIRMA!Print_Titles</vt:lpstr>
      <vt:lpstr>'PORTADA PLANOS'!Print_Titles</vt:lpstr>
      <vt:lpstr>'PORTADA PRESUPUESTO'!Print_Titles</vt:lpstr>
      <vt:lpstr>Proyecto</vt:lpstr>
      <vt:lpstr>Superficie__m²</vt:lpstr>
      <vt:lpstr>'CALENDARIO - OBRA'!Títulos_a_imprimir</vt:lpstr>
      <vt:lpstr>'Memoria de Calidades'!Títulos_a_imprimir</vt:lpstr>
      <vt:lpstr>Total_Albañilería</vt:lpstr>
      <vt:lpstr>Total_Carpinterías_A</vt:lpstr>
      <vt:lpstr>Total_Carpinterías_M</vt:lpstr>
      <vt:lpstr>Total_Derribos</vt:lpstr>
      <vt:lpstr>Total_Electrodomésticos</vt:lpstr>
      <vt:lpstr>Total_Instalaciones_A</vt:lpstr>
      <vt:lpstr>Total_Instalaciones_C</vt:lpstr>
      <vt:lpstr>Total_Instalaciones_E</vt:lpstr>
      <vt:lpstr>Total_Instalaciones_L</vt:lpstr>
      <vt:lpstr>Total_Mobiliario</vt:lpstr>
      <vt:lpstr>Total_Pavimentos</vt:lpstr>
      <vt:lpstr>Total_Pintura</vt:lpstr>
      <vt:lpstr>Total_Resumen</vt:lpstr>
      <vt:lpstr>Total_Revestimientos</vt:lpstr>
      <vt:lpstr>XTe_Banco</vt:lpstr>
      <vt:lpstr>XTe_Beneficiario</vt:lpstr>
      <vt:lpstr>XTe_Código_IBAN</vt:lpstr>
      <vt:lpstr>XTe_Código_SWIFT</vt:lpstr>
      <vt:lpstr>XTe_cuenta</vt:lpstr>
      <vt:lpstr>XTe_D.O.</vt:lpstr>
      <vt:lpstr>XTe_NIF</vt:lpstr>
      <vt:lpstr>XTe_Obra_Dirección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2014-02-16T20:40:58Z</dcterms:created>
  <dcterms:modified xsi:type="dcterms:W3CDTF">2020-06-25T14:15:23Z</dcterms:modified>
</cp:coreProperties>
</file>