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XTe\D-Recursos\9999-Varios\"/>
    </mc:Choice>
  </mc:AlternateContent>
  <bookViews>
    <workbookView xWindow="6690" yWindow="5520" windowWidth="15195" windowHeight="8385"/>
  </bookViews>
  <sheets>
    <sheet name="Proyeccion Inv." sheetId="1" r:id="rId1"/>
    <sheet name="Terreno" sheetId="2" r:id="rId2"/>
    <sheet name="Comercialización" sheetId="5" r:id="rId3"/>
  </sheets>
  <definedNames>
    <definedName name="_xlnm.Print_Area" localSheetId="2">Comercialización!$B$2:$K$138</definedName>
    <definedName name="_xlnm.Print_Area" localSheetId="0">'Proyeccion Inv.'!$B$1:$H$100</definedName>
    <definedName name="_xlnm.Print_Area" localSheetId="1">Terreno!$B$201:$J$217</definedName>
    <definedName name="_xlnm.Print_Titles" localSheetId="0">'Proyeccion Inv.'!$1:$5</definedName>
    <definedName name="_xlnm.Print_Titles" localSheetId="1">Terreno!$1:$6</definedName>
  </definedNames>
  <calcPr calcId="152511"/>
</workbook>
</file>

<file path=xl/calcChain.xml><?xml version="1.0" encoding="utf-8"?>
<calcChain xmlns="http://schemas.openxmlformats.org/spreadsheetml/2006/main">
  <c r="L28" i="1" l="1"/>
  <c r="K28" i="1"/>
  <c r="K16" i="5" l="1"/>
  <c r="K135" i="5"/>
  <c r="K120" i="5"/>
  <c r="K87" i="5"/>
  <c r="K42" i="5"/>
  <c r="L67" i="5"/>
  <c r="L58" i="5"/>
  <c r="J44" i="5"/>
  <c r="M99" i="2" l="1"/>
  <c r="M94" i="2"/>
  <c r="M66" i="2"/>
  <c r="F10" i="5" l="1"/>
  <c r="I21" i="5"/>
  <c r="I22" i="5"/>
  <c r="J20" i="5" s="1"/>
  <c r="I23" i="5"/>
  <c r="I24" i="5"/>
  <c r="I25" i="5"/>
  <c r="I28" i="5"/>
  <c r="I29" i="5"/>
  <c r="J27" i="5" s="1"/>
  <c r="I30" i="5"/>
  <c r="L31" i="5"/>
  <c r="I34" i="5"/>
  <c r="I35" i="5"/>
  <c r="I33" i="5" s="1"/>
  <c r="J32" i="5" s="1"/>
  <c r="I36" i="5"/>
  <c r="I37" i="5"/>
  <c r="I39" i="5"/>
  <c r="I38" i="5" s="1"/>
  <c r="I40" i="5"/>
  <c r="I45" i="5"/>
  <c r="I46" i="5"/>
  <c r="I47" i="5"/>
  <c r="I48" i="5"/>
  <c r="I49" i="5"/>
  <c r="I50" i="5"/>
  <c r="I53" i="5"/>
  <c r="H54" i="5"/>
  <c r="I54" i="5" s="1"/>
  <c r="J52" i="5" s="1"/>
  <c r="I55" i="5"/>
  <c r="I56" i="5"/>
  <c r="I59" i="5"/>
  <c r="I60" i="5"/>
  <c r="J58" i="5" s="1"/>
  <c r="I61" i="5"/>
  <c r="I64" i="5"/>
  <c r="I65" i="5"/>
  <c r="J63" i="5" s="1"/>
  <c r="I68" i="5"/>
  <c r="J67" i="5" s="1"/>
  <c r="I69" i="5"/>
  <c r="J71" i="5"/>
  <c r="I72" i="5"/>
  <c r="I75" i="5"/>
  <c r="I76" i="5"/>
  <c r="J74" i="5" s="1"/>
  <c r="I77" i="5"/>
  <c r="I80" i="5"/>
  <c r="I81" i="5"/>
  <c r="J79" i="5" s="1"/>
  <c r="I84" i="5"/>
  <c r="J83" i="5" s="1"/>
  <c r="I85" i="5"/>
  <c r="I90" i="5"/>
  <c r="I91" i="5"/>
  <c r="I94" i="5"/>
  <c r="J93" i="5" s="1"/>
  <c r="I95" i="5"/>
  <c r="I100" i="5"/>
  <c r="J99" i="5" s="1"/>
  <c r="I101" i="5"/>
  <c r="I102" i="5"/>
  <c r="I105" i="5"/>
  <c r="J104" i="5" s="1"/>
  <c r="I106" i="5"/>
  <c r="I111" i="5"/>
  <c r="J110" i="5" s="1"/>
  <c r="K108" i="5" s="1"/>
  <c r="I112" i="5"/>
  <c r="I113" i="5"/>
  <c r="I116" i="5"/>
  <c r="J115" i="5" s="1"/>
  <c r="I117" i="5"/>
  <c r="I118" i="5"/>
  <c r="I123" i="5"/>
  <c r="J122" i="5" s="1"/>
  <c r="I128" i="5"/>
  <c r="I129" i="5"/>
  <c r="J127" i="5" s="1"/>
  <c r="K125" i="5" s="1"/>
  <c r="I132" i="5"/>
  <c r="J131" i="5" s="1"/>
  <c r="I133" i="5"/>
  <c r="I136" i="5"/>
  <c r="I137" i="5"/>
  <c r="J135" i="5" s="1"/>
  <c r="I19" i="2"/>
  <c r="M19" i="2" s="1"/>
  <c r="I20" i="2"/>
  <c r="I21" i="2"/>
  <c r="I22" i="2"/>
  <c r="I25" i="2"/>
  <c r="I26" i="2"/>
  <c r="I24" i="2" s="1"/>
  <c r="I27" i="2"/>
  <c r="J29" i="2"/>
  <c r="I46" i="2"/>
  <c r="I49" i="2"/>
  <c r="J44" i="2" s="1"/>
  <c r="I51" i="2"/>
  <c r="L51" i="2"/>
  <c r="I52" i="2"/>
  <c r="L52" i="2"/>
  <c r="L53" i="2"/>
  <c r="I55" i="2"/>
  <c r="I59" i="2"/>
  <c r="I60" i="2"/>
  <c r="I58" i="2" s="1"/>
  <c r="I63" i="2"/>
  <c r="J62" i="2" s="1"/>
  <c r="I71" i="2"/>
  <c r="I74" i="2"/>
  <c r="I77" i="2"/>
  <c r="I95" i="2"/>
  <c r="I93" i="2" s="1"/>
  <c r="J91" i="2" s="1"/>
  <c r="H15" i="1" s="1"/>
  <c r="I100" i="2"/>
  <c r="I104" i="2"/>
  <c r="J114" i="2"/>
  <c r="G119" i="2"/>
  <c r="I131" i="2"/>
  <c r="I130" i="2" s="1"/>
  <c r="I135" i="2"/>
  <c r="I133" i="2" s="1"/>
  <c r="I136" i="2"/>
  <c r="I138" i="2"/>
  <c r="I139" i="2"/>
  <c r="I140" i="2"/>
  <c r="I143" i="2"/>
  <c r="I142" i="2" s="1"/>
  <c r="I144" i="2"/>
  <c r="I149" i="2"/>
  <c r="I150" i="2"/>
  <c r="I155" i="2"/>
  <c r="I156" i="2"/>
  <c r="I154" i="2" s="1"/>
  <c r="I159" i="2"/>
  <c r="I158" i="2" s="1"/>
  <c r="I163" i="2"/>
  <c r="I161" i="2" s="1"/>
  <c r="J161" i="2" s="1"/>
  <c r="I164" i="2"/>
  <c r="I168" i="2"/>
  <c r="I166" i="2" s="1"/>
  <c r="J166" i="2" s="1"/>
  <c r="I169" i="2"/>
  <c r="I170" i="2"/>
  <c r="I171" i="2"/>
  <c r="I172" i="2"/>
  <c r="G182" i="2"/>
  <c r="H182" i="2"/>
  <c r="I182" i="2"/>
  <c r="J182" i="2"/>
  <c r="H198" i="2"/>
  <c r="H199" i="2" s="1"/>
  <c r="F208" i="2"/>
  <c r="J214" i="2"/>
  <c r="J212" i="2" s="1"/>
  <c r="H20" i="1" s="1"/>
  <c r="I215" i="2"/>
  <c r="J216" i="2"/>
  <c r="I217" i="2"/>
  <c r="H13" i="1"/>
  <c r="H17" i="1"/>
  <c r="F17" i="1" s="1"/>
  <c r="F22" i="1" s="1"/>
  <c r="F84" i="1" s="1"/>
  <c r="F18" i="1"/>
  <c r="G28" i="1"/>
  <c r="G29" i="1"/>
  <c r="G30" i="1"/>
  <c r="H31" i="1"/>
  <c r="D44" i="1"/>
  <c r="F89" i="1"/>
  <c r="J128" i="2" l="1"/>
  <c r="J126" i="2" s="1"/>
  <c r="H16" i="1" s="1"/>
  <c r="J55" i="2"/>
  <c r="J42" i="2" s="1"/>
  <c r="H14" i="1" s="1"/>
  <c r="H32" i="1"/>
  <c r="E57" i="1" s="1"/>
  <c r="H62" i="1" s="1"/>
  <c r="F96" i="1"/>
  <c r="F98" i="1" s="1"/>
  <c r="K97" i="5"/>
  <c r="K18" i="5"/>
  <c r="I18" i="2"/>
  <c r="J16" i="2" s="1"/>
  <c r="H177" i="2"/>
  <c r="H200" i="2"/>
  <c r="H12" i="1" l="1"/>
  <c r="H19" i="1"/>
  <c r="H18" i="1" s="1"/>
  <c r="E58" i="1"/>
  <c r="H22" i="1"/>
  <c r="E44" i="1" s="1"/>
  <c r="H33" i="1"/>
  <c r="M18" i="2"/>
  <c r="M23" i="2"/>
  <c r="E60" i="1" l="1"/>
  <c r="H60" i="1" s="1"/>
  <c r="F58" i="1"/>
  <c r="H58" i="1"/>
  <c r="F88" i="1"/>
  <c r="F90" i="1" s="1"/>
  <c r="F94" i="1" s="1"/>
  <c r="F100" i="1" s="1"/>
  <c r="E59" i="1"/>
  <c r="H59" i="1" s="1"/>
  <c r="D83" i="1"/>
  <c r="F83" i="1" s="1"/>
  <c r="F86" i="1" s="1"/>
  <c r="F57" i="1"/>
  <c r="F60" i="1" l="1"/>
  <c r="F59" i="1"/>
  <c r="G59" i="1" s="1"/>
  <c r="E61" i="1"/>
  <c r="H61" i="1" s="1"/>
  <c r="F61" i="1" l="1"/>
  <c r="F63" i="1" s="1"/>
  <c r="F73" i="1"/>
  <c r="E63" i="1"/>
  <c r="H63" i="1" s="1"/>
  <c r="E64" i="1" l="1"/>
  <c r="F64" i="1"/>
  <c r="F65" i="1" s="1"/>
  <c r="E65" i="1" l="1"/>
  <c r="H65" i="1" s="1"/>
  <c r="H64" i="1"/>
  <c r="E77" i="1"/>
  <c r="E78" i="1"/>
  <c r="F78" i="1"/>
  <c r="F77" i="1"/>
</calcChain>
</file>

<file path=xl/sharedStrings.xml><?xml version="1.0" encoding="utf-8"?>
<sst xmlns="http://schemas.openxmlformats.org/spreadsheetml/2006/main" count="732" uniqueCount="376">
  <si>
    <t>PROYECTO DE INVERSION</t>
  </si>
  <si>
    <t>RESUMEN - OCTUBRE 2011</t>
  </si>
  <si>
    <t>SASTRE ARENALES SAC</t>
  </si>
  <si>
    <t>ESTRUCTURA DE COSTOS DEL PROYECTO</t>
  </si>
  <si>
    <t>DESCRIPCION DE LOS ENTREGABLES DEL PROYECTO</t>
  </si>
  <si>
    <t>IGV</t>
  </si>
  <si>
    <t>TOTAL US$</t>
  </si>
  <si>
    <t>COSTOS</t>
  </si>
  <si>
    <t>TERRENO</t>
  </si>
  <si>
    <t>ESTUDIOS Y REVISIONES</t>
  </si>
  <si>
    <t>LICENCIAS Y PERMISOS</t>
  </si>
  <si>
    <t>SANEAMIENTO INMOBILIARIO</t>
  </si>
  <si>
    <t>CONSTRUCCION</t>
  </si>
  <si>
    <t>GASTOS</t>
  </si>
  <si>
    <t>COMERCIALIZACIÓN</t>
  </si>
  <si>
    <t>GESTION DEL PROYECTO</t>
  </si>
  <si>
    <t>Proyecto: Edificio Arenales</t>
  </si>
  <si>
    <t>TOTAL COSTOS Y GASTOS EN DOLARES US$</t>
  </si>
  <si>
    <t>ESTRUCTURA DE LOS INGRESOS POR VENTAS DEL PROYECTO</t>
  </si>
  <si>
    <t>Descripción</t>
  </si>
  <si>
    <t>Cantidades</t>
  </si>
  <si>
    <t>Area Promedio</t>
  </si>
  <si>
    <t>Precio x Und</t>
  </si>
  <si>
    <t>Parcial</t>
  </si>
  <si>
    <t>Total US$</t>
  </si>
  <si>
    <t>Departamentos</t>
  </si>
  <si>
    <t>Estacionamientos</t>
  </si>
  <si>
    <t>Depósitos</t>
  </si>
  <si>
    <t>TOTAL DE INGRESOS CON IGV</t>
  </si>
  <si>
    <t>TOTAL INGRESOS SIN IGV</t>
  </si>
  <si>
    <t>ESTRUCTURA DEL CAPITAL</t>
  </si>
  <si>
    <t>PROPUESTA</t>
  </si>
  <si>
    <t>%</t>
  </si>
  <si>
    <t>Capital propio (aporte del promotor)</t>
  </si>
  <si>
    <t>Deuda-Crédito bancario</t>
  </si>
  <si>
    <t>Otros aportes (Pre-ventas)</t>
  </si>
  <si>
    <t>Total de capital a invertir</t>
  </si>
  <si>
    <t>GASTOS FINANCIEROS (APROX)</t>
  </si>
  <si>
    <t>Datos</t>
  </si>
  <si>
    <t>Intereses</t>
  </si>
  <si>
    <t>Importe del crédito</t>
  </si>
  <si>
    <t>Tasa</t>
  </si>
  <si>
    <t>Tiempo (meses)</t>
  </si>
  <si>
    <t>PROYECCIÓN DE ESTADOS FINANCIEROS</t>
  </si>
  <si>
    <t>ESTADO DE GANANCIAS Y PERDIDAS</t>
  </si>
  <si>
    <t>FLUJO</t>
  </si>
  <si>
    <t>ECONOMICO</t>
  </si>
  <si>
    <t xml:space="preserve">FLUJO </t>
  </si>
  <si>
    <t>FINANCIERO</t>
  </si>
  <si>
    <t>INCIDENCIA</t>
  </si>
  <si>
    <t>(-) Total de costos</t>
  </si>
  <si>
    <t xml:space="preserve"> Total de ventas</t>
  </si>
  <si>
    <t xml:space="preserve"> Utilidad Bruta</t>
  </si>
  <si>
    <t>(-) Gastos de administración y ventas</t>
  </si>
  <si>
    <t xml:space="preserve"> Utilidad operativa - EBITDA</t>
  </si>
  <si>
    <t>(-) Gastos financieros</t>
  </si>
  <si>
    <t xml:space="preserve"> Utilidad antes de impuestos</t>
  </si>
  <si>
    <t>(-) Impuesto a la renta</t>
  </si>
  <si>
    <t xml:space="preserve"> Utilidad neta</t>
  </si>
  <si>
    <t>EVALUACIÓN PRELIMINAR</t>
  </si>
  <si>
    <t>Ratios contables</t>
  </si>
  <si>
    <t>Margen de utilidad Bruta / Total de ventas</t>
  </si>
  <si>
    <t>Margen de utilidad operativa / Total de ventas</t>
  </si>
  <si>
    <t>Margen de utilidad neta / Total de ventas</t>
  </si>
  <si>
    <t>Ratios de valor agregado</t>
  </si>
  <si>
    <t>Margen de utilidad neta / Total de inversión</t>
  </si>
  <si>
    <t>Margen de utilidad neta / Capital propio</t>
  </si>
  <si>
    <t>ANALISIS E IMPACTO DEL IGV</t>
  </si>
  <si>
    <t>Monto imponible</t>
  </si>
  <si>
    <t>Importe IGV</t>
  </si>
  <si>
    <t>I.G.V. Por ventas</t>
  </si>
  <si>
    <t>I.G.V. Por compras</t>
  </si>
  <si>
    <t>Credito Fiscal (- a favor, + en contra)</t>
  </si>
  <si>
    <t>TOTAL COSTOS Y GASTOS</t>
  </si>
  <si>
    <t>TOTAL GASTOS FINANCIEROS</t>
  </si>
  <si>
    <t>TOTAL GENERAL</t>
  </si>
  <si>
    <t>TOTAL AREA VENDIBLE</t>
  </si>
  <si>
    <t>PRECIO PUNTO DE EQUILIBRIO POR m2 (INCLUIDO ESTACIONAMIENTO)</t>
  </si>
  <si>
    <t>TOTAL VENTAS</t>
  </si>
  <si>
    <t>PRECIO PROMEDIO DE VENTAS POR m2 (INCLUIDO ESTACIONAMIENTOS)</t>
  </si>
  <si>
    <t>RELACIÓN DE PRECIOS</t>
  </si>
  <si>
    <t>Unidad Impositiva Tributaria</t>
  </si>
  <si>
    <t>Tipo de Cambio</t>
  </si>
  <si>
    <t>DESCRIPCIÓN DE LOS PAQUETES DE TRABAJO</t>
  </si>
  <si>
    <t>Unidad</t>
  </si>
  <si>
    <t>Cantidad</t>
  </si>
  <si>
    <t>Precio</t>
  </si>
  <si>
    <t>Total</t>
  </si>
  <si>
    <t>1.1.1</t>
  </si>
  <si>
    <t>COMPRA DEL INMUEBLE</t>
  </si>
  <si>
    <t>Valor del Inmueble</t>
  </si>
  <si>
    <t>Elaboración de minuta</t>
  </si>
  <si>
    <t>Escritura de compra venta</t>
  </si>
  <si>
    <t>Impuesto a la Alcabala (Descontar 10UIT)</t>
  </si>
  <si>
    <t>Gastos Varios</t>
  </si>
  <si>
    <t>1.1.2</t>
  </si>
  <si>
    <t>Inscripción de titulo en RR.PP.</t>
  </si>
  <si>
    <t>Regulación del impuesto predial</t>
  </si>
  <si>
    <t>D.J. por transferencia</t>
  </si>
  <si>
    <t>DEMOLICIÓN</t>
  </si>
  <si>
    <t>1.2.1</t>
  </si>
  <si>
    <t>LICENCIA DE DEMOLICIÓN</t>
  </si>
  <si>
    <t>m2</t>
  </si>
  <si>
    <t>Glb</t>
  </si>
  <si>
    <t>gbl</t>
  </si>
  <si>
    <t>%VT</t>
  </si>
  <si>
    <t>Area techada de la edificación nueva</t>
  </si>
  <si>
    <t>Valor Oficial x m2</t>
  </si>
  <si>
    <t>$</t>
  </si>
  <si>
    <t>ESTUDIOS PRELIMINARES (ANTEPROYECTO)</t>
  </si>
  <si>
    <t>2.1.1</t>
  </si>
  <si>
    <t>FORMULACIÓN</t>
  </si>
  <si>
    <t>Anteproyecto arquitectónico</t>
  </si>
  <si>
    <t>Anteproyecto de seguridad</t>
  </si>
  <si>
    <t>2.1.2</t>
  </si>
  <si>
    <t>REVISIÓN</t>
  </si>
  <si>
    <t>Certificado de habilitación de proyecto</t>
  </si>
  <si>
    <t>Derecho de revisión CAP</t>
  </si>
  <si>
    <t>Derecho de trámite</t>
  </si>
  <si>
    <t>Estudio de Mecánica de Suelos</t>
  </si>
  <si>
    <t>2.2.2</t>
  </si>
  <si>
    <t>2.2.3</t>
  </si>
  <si>
    <t>ESTUDIOS COMPLEMENTARIOS</t>
  </si>
  <si>
    <t>2.2.4</t>
  </si>
  <si>
    <t>Estudio de Impacto Ambiental</t>
  </si>
  <si>
    <t>Estudio de Impacto Vial</t>
  </si>
  <si>
    <t>2.2.5</t>
  </si>
  <si>
    <t>ESTUDIOS DEFINITIVOS (PROYECTO)</t>
  </si>
  <si>
    <t>2.3.1</t>
  </si>
  <si>
    <t>Proyecto de Arquitectura</t>
  </si>
  <si>
    <t>Proyecto de Seguridad</t>
  </si>
  <si>
    <t>Proyecto de Estructuras</t>
  </si>
  <si>
    <t>Proyecto de Instalaciones Sanitarias</t>
  </si>
  <si>
    <t>Proyecto de Instalaciones Eléctricas</t>
  </si>
  <si>
    <t>Proyecto de Instalaciones Mecánicas</t>
  </si>
  <si>
    <t>Proyecto de Instalaciones de Gas</t>
  </si>
  <si>
    <t>2.3.2</t>
  </si>
  <si>
    <t>Derecho de revisión CIP</t>
  </si>
  <si>
    <t>Derecho de Trámite</t>
  </si>
  <si>
    <t>%VO</t>
  </si>
  <si>
    <t>Und</t>
  </si>
  <si>
    <t xml:space="preserve">Valor de obra (VO) S/. </t>
  </si>
  <si>
    <t>Valor  x m2</t>
  </si>
  <si>
    <t>Nº de pisos incluido sótanos y azotea</t>
  </si>
  <si>
    <t>LICENCIA DE OBRA</t>
  </si>
  <si>
    <t>4.1.1</t>
  </si>
  <si>
    <t>PAGOS EN LA MUNICIPALIDAD</t>
  </si>
  <si>
    <t>Licencia de obra</t>
  </si>
  <si>
    <t>Derterioro de pistas y veredas</t>
  </si>
  <si>
    <t>Control de obra municipal</t>
  </si>
  <si>
    <t>4.1.2</t>
  </si>
  <si>
    <t>PAGOS EN LOS COLEGIOS PROFESIONALES</t>
  </si>
  <si>
    <t>Supervisión de obra CAP (2% de UIT x vez)</t>
  </si>
  <si>
    <t>Precio  x m2</t>
  </si>
  <si>
    <t>Valorización de aportes al SERPAR</t>
  </si>
  <si>
    <t>Area a aportar (% de área techada)</t>
  </si>
  <si>
    <t>Valor arancelario del terreno x m2</t>
  </si>
  <si>
    <t>Unidades Inmobiliarias</t>
  </si>
  <si>
    <t>SANEAMIENTO TÉCNICO</t>
  </si>
  <si>
    <t>6.1.1</t>
  </si>
  <si>
    <t>Aporte al Servicio de Parques - SERPAR</t>
  </si>
  <si>
    <t>Resolución ypago de aportes al SERPAR</t>
  </si>
  <si>
    <t>6.1.2</t>
  </si>
  <si>
    <t>Certificado de Conformidad de obra</t>
  </si>
  <si>
    <t>Formulación de expediente</t>
  </si>
  <si>
    <t>Elaboración de planos de replanteo</t>
  </si>
  <si>
    <t>Copias de planos y otros</t>
  </si>
  <si>
    <t xml:space="preserve">Revisión </t>
  </si>
  <si>
    <t>6.1.3</t>
  </si>
  <si>
    <t>Certificado de numeración</t>
  </si>
  <si>
    <t>Declaración de fábrica</t>
  </si>
  <si>
    <t>Elaboración de FUO y otros doc.</t>
  </si>
  <si>
    <t>Copias de planos (3 juegos) y otros</t>
  </si>
  <si>
    <t>Revisión</t>
  </si>
  <si>
    <t>Minuta de independización y reglam. Interno</t>
  </si>
  <si>
    <t>Elaboración de planos de independización, memoria descriptiva y reglamento interno.</t>
  </si>
  <si>
    <t>Copias de planos y documentos</t>
  </si>
  <si>
    <t>Escritura pública de independización y reglamento interno en Notaria Paino</t>
  </si>
  <si>
    <t>SANEAMIENTO LEGAL</t>
  </si>
  <si>
    <t>6.2.1</t>
  </si>
  <si>
    <t>Inscripción en RR.PP.</t>
  </si>
  <si>
    <t>6.2.2</t>
  </si>
  <si>
    <t>Otros documentos legales</t>
  </si>
  <si>
    <t>SANEAMIENTO TRIBUTARIO</t>
  </si>
  <si>
    <t>6.3.1</t>
  </si>
  <si>
    <t>Pago de arbitrios municipales</t>
  </si>
  <si>
    <t>6.3.2</t>
  </si>
  <si>
    <t>Pago de impuesto predial</t>
  </si>
  <si>
    <t>D.J. de Finalización de obra</t>
  </si>
  <si>
    <t>D.J. de "Bajas por transferencia"</t>
  </si>
  <si>
    <t>Tipo de cambio</t>
  </si>
  <si>
    <t>$ x m2</t>
  </si>
  <si>
    <t>Total S/.</t>
  </si>
  <si>
    <t>CONSTRUCCIÓN CON IGV</t>
  </si>
  <si>
    <t>GASTOS GENERALES</t>
  </si>
  <si>
    <t>CONSTRUCCIÓN SIN IGV</t>
  </si>
  <si>
    <t>ETAPA</t>
  </si>
  <si>
    <t>TIEMPO (meses)</t>
  </si>
  <si>
    <t>Lanzamiento</t>
  </si>
  <si>
    <t>Mantenimiento</t>
  </si>
  <si>
    <t>Cierre</t>
  </si>
  <si>
    <t>SALA DE VENTAS Y PILOTO</t>
  </si>
  <si>
    <t>CONSTRUCCIÓN SALA DE VENTAS</t>
  </si>
  <si>
    <t>Diseño arquitectónico y de interiores</t>
  </si>
  <si>
    <t>Licencia (Construcción y funcionamiento)</t>
  </si>
  <si>
    <t>Equipamiento, Mobiliario y útiles de escritorio</t>
  </si>
  <si>
    <t>Utiles de escritorio</t>
  </si>
  <si>
    <t>DEPARTAMENTO PILOTO</t>
  </si>
  <si>
    <t>Diseño de interiores</t>
  </si>
  <si>
    <t>Construcción piloto drywall</t>
  </si>
  <si>
    <t>Equipamiento, Mobiliario y otros</t>
  </si>
  <si>
    <t>MANTENIMIENTO SALA DE VENTAS</t>
  </si>
  <si>
    <t>Servicios públicos</t>
  </si>
  <si>
    <t>Energía eléctrica</t>
  </si>
  <si>
    <t>Teléfonos</t>
  </si>
  <si>
    <t>Internet</t>
  </si>
  <si>
    <t>Nextel</t>
  </si>
  <si>
    <t>Seguridad</t>
  </si>
  <si>
    <t>Sistema de alarma</t>
  </si>
  <si>
    <t>Guardianía</t>
  </si>
  <si>
    <t>COMUNICACIONES FASE DE LANZAMIENTO</t>
  </si>
  <si>
    <t>MATERIAL PARA PUBLICIDAD</t>
  </si>
  <si>
    <t>Perspectivas, plantas amobladas</t>
  </si>
  <si>
    <t>Visita virtual 3d</t>
  </si>
  <si>
    <t>Brochure</t>
  </si>
  <si>
    <t>Folleto</t>
  </si>
  <si>
    <t>Diagramación de Gigantografías</t>
  </si>
  <si>
    <t>PUBLICIDAD EXTERIOR AL EDIFICIO</t>
  </si>
  <si>
    <t>Tratamiento de cerco de obra</t>
  </si>
  <si>
    <t>Carteles o Panel - incl. Estructura</t>
  </si>
  <si>
    <t>Baners</t>
  </si>
  <si>
    <t>Banderolas</t>
  </si>
  <si>
    <t>PUBLICIDAD EN DIARIOS Y REVISTAS (según el plan de medios)</t>
  </si>
  <si>
    <t>Aviso de lanzamiento en otro diario</t>
  </si>
  <si>
    <t>VOLANTEO</t>
  </si>
  <si>
    <t>Impresión Volantes</t>
  </si>
  <si>
    <t>Reparto</t>
  </si>
  <si>
    <t>PORTALES INMOBILIARIOS</t>
  </si>
  <si>
    <t>Portal Inmobiliario del Banco</t>
  </si>
  <si>
    <t>Otros Portales</t>
  </si>
  <si>
    <t>PROMOCION DE VENTAS</t>
  </si>
  <si>
    <t>Feria Inmobiliaria</t>
  </si>
  <si>
    <t>PAGINA WEB</t>
  </si>
  <si>
    <t>Diseño para lanzamiento</t>
  </si>
  <si>
    <t>Mantenimiento en esta fase</t>
  </si>
  <si>
    <t>MAILLING</t>
  </si>
  <si>
    <t>Servicio de mailing de lanzamiento</t>
  </si>
  <si>
    <t>Servicio de mailing de mantenimiento</t>
  </si>
  <si>
    <t>RELACIONES PUBLICAS</t>
  </si>
  <si>
    <t>Evento de lanzamiento</t>
  </si>
  <si>
    <t>Abre puertas</t>
  </si>
  <si>
    <t>Presentaciones especiales</t>
  </si>
  <si>
    <t>Volanteo</t>
  </si>
  <si>
    <t>COMUNICACIONES EN FASE DE CIERRE</t>
  </si>
  <si>
    <t>Anuncios de cierrre en diarios 6x3</t>
  </si>
  <si>
    <t>Anuncios de cierrre en diarios 3X2</t>
  </si>
  <si>
    <t>COMUNICACIONES EN FASE DE MANTENIMIENTO</t>
  </si>
  <si>
    <t>Anuncios de mantenimiento en diarios 3x2</t>
  </si>
  <si>
    <t>PROMOCION DE VENTAS Y MARCHANDISING</t>
  </si>
  <si>
    <t>PROMOCION (según plan de promociones)</t>
  </si>
  <si>
    <t>MARCHANDISING</t>
  </si>
  <si>
    <t>Llaveros para departamentos</t>
  </si>
  <si>
    <t>Bolsa de kt de bienvenida</t>
  </si>
  <si>
    <t>Regalo para entrega de departamento</t>
  </si>
  <si>
    <t>EVENTOS</t>
  </si>
  <si>
    <t>Primera reunión de Junta de Propietarios</t>
  </si>
  <si>
    <t>FUERZA DE VENTAS</t>
  </si>
  <si>
    <t>REMUNERACIÓN BASICA</t>
  </si>
  <si>
    <t>Remuneración Asesores de ventas - 2 personas</t>
  </si>
  <si>
    <t>COMISIONES Y BONOS</t>
  </si>
  <si>
    <t>Comisión Asesores de ventas</t>
  </si>
  <si>
    <t>ENTREGA DE DPTOS. Y ZONAS COMUNES</t>
  </si>
  <si>
    <t>MANUAL DE MANTENIMIENTO DEL EDIFICIO</t>
  </si>
  <si>
    <t>GESTIÓN DEL PROYECTO</t>
  </si>
  <si>
    <t>Pre construcción</t>
  </si>
  <si>
    <t>Construcción</t>
  </si>
  <si>
    <t>Post construcción</t>
  </si>
  <si>
    <t>Remuneración del equipo de Gestión</t>
  </si>
  <si>
    <t>Gastos de oficina</t>
  </si>
  <si>
    <t>mes</t>
  </si>
  <si>
    <t>glb</t>
  </si>
  <si>
    <t xml:space="preserve"> </t>
  </si>
  <si>
    <t>1 US$ =</t>
  </si>
  <si>
    <t>S/. 2,70</t>
  </si>
  <si>
    <t>Total (US$)</t>
  </si>
  <si>
    <t>COSTOS TERRENO</t>
  </si>
  <si>
    <t>1.2</t>
  </si>
  <si>
    <t>TERRENO SANEADO</t>
  </si>
  <si>
    <t>SANEAMIENTO DE TITULACIÓN</t>
  </si>
  <si>
    <t>Remuneración Superior de ventas - 50%</t>
  </si>
  <si>
    <t>MONTO US$</t>
  </si>
  <si>
    <t>TC:</t>
  </si>
  <si>
    <t>1US$ = 2,70</t>
  </si>
  <si>
    <t xml:space="preserve">ESTUDIOS BASICOS </t>
  </si>
  <si>
    <t>Estudio de Factibilidad Servicios Públicos</t>
  </si>
  <si>
    <t>Derecho de revisión BOMBEROS</t>
  </si>
  <si>
    <t>Memoria descriptiva y especif. Técnicas</t>
  </si>
  <si>
    <t>Metrados, análisis de costo y presupuesto</t>
  </si>
  <si>
    <t xml:space="preserve">ESTUDIOS </t>
  </si>
  <si>
    <t>AUTORIZACIONES</t>
  </si>
  <si>
    <t>Licencia para uso de la vía pública</t>
  </si>
  <si>
    <t>Nº DE PARTIDA</t>
  </si>
  <si>
    <t>un</t>
  </si>
  <si>
    <t>Pago por asignación de número exterior</t>
  </si>
  <si>
    <t>Pago por asignación de número interior</t>
  </si>
  <si>
    <t>Escritura pública de independización y reglamento Interno</t>
  </si>
  <si>
    <t>D.J. de Independiz.de unidades inmobiliarias</t>
  </si>
  <si>
    <t>año</t>
  </si>
  <si>
    <t xml:space="preserve">  </t>
  </si>
  <si>
    <t>3.1.1</t>
  </si>
  <si>
    <t>3.1.2</t>
  </si>
  <si>
    <t>4.1.3</t>
  </si>
  <si>
    <t>4.1.4</t>
  </si>
  <si>
    <t>4.1.5</t>
  </si>
  <si>
    <t>4.1.6</t>
  </si>
  <si>
    <t>4.2.1</t>
  </si>
  <si>
    <t>4.2.2</t>
  </si>
  <si>
    <t>4.3.1</t>
  </si>
  <si>
    <t>4.3.2</t>
  </si>
  <si>
    <t>4.3.3</t>
  </si>
  <si>
    <t>4.3.4</t>
  </si>
  <si>
    <t>4.3.5</t>
  </si>
  <si>
    <t>5.00  CONSTRUCCIÓN</t>
  </si>
  <si>
    <t xml:space="preserve">                              DESCRIPCIÓN DE LOS PAQUETES DE TRABAJO</t>
  </si>
  <si>
    <t>5.01   CONSTRUCCIÓN CON IGV</t>
  </si>
  <si>
    <t>5.02   ESTRUCTURAS</t>
  </si>
  <si>
    <t>5.03   ARQUITECTURA</t>
  </si>
  <si>
    <t>5.04   INSTALACIONES SANITARIAS</t>
  </si>
  <si>
    <t>5.05   INSTALACIONES ELÉCTRICAS Y DE COMUNICACIONES</t>
  </si>
  <si>
    <t>5.06   INSTALACIONES MECÁNICAS</t>
  </si>
  <si>
    <t>Subotal (US$)</t>
  </si>
  <si>
    <t>6.2.3</t>
  </si>
  <si>
    <t>6.2.4</t>
  </si>
  <si>
    <t>6.2.5</t>
  </si>
  <si>
    <t>6.2.6</t>
  </si>
  <si>
    <t>6.4.1</t>
  </si>
  <si>
    <t>6.4.2</t>
  </si>
  <si>
    <t>6.5.1</t>
  </si>
  <si>
    <t>6.5.2</t>
  </si>
  <si>
    <t>6.6.1</t>
  </si>
  <si>
    <t>6.7.1</t>
  </si>
  <si>
    <t>6.7.2</t>
  </si>
  <si>
    <t>6.8.1</t>
  </si>
  <si>
    <t>6.8.2</t>
  </si>
  <si>
    <t>millar</t>
  </si>
  <si>
    <t>Acondicionamiento local existente</t>
  </si>
  <si>
    <t>Nº</t>
  </si>
  <si>
    <t xml:space="preserve">             Descripción</t>
  </si>
  <si>
    <t>Precio Unit.</t>
  </si>
  <si>
    <t>Maqueta 1/75</t>
  </si>
  <si>
    <t xml:space="preserve">Aviso de lanzamiento en El Comercio </t>
  </si>
  <si>
    <t xml:space="preserve">Anuncios en El Comercio </t>
  </si>
  <si>
    <t>Comisión Supervisor de ventas - 50%</t>
  </si>
  <si>
    <r>
      <t>ENTREGA DPTOS (</t>
    </r>
    <r>
      <rPr>
        <sz val="9"/>
        <rFont val="Arial Narrow"/>
        <family val="2"/>
      </rPr>
      <t>Levantamiento observaciones</t>
    </r>
    <r>
      <rPr>
        <sz val="9"/>
        <rFont val="Arial"/>
        <family val="2"/>
      </rPr>
      <t>)</t>
    </r>
  </si>
  <si>
    <t>Valor de obra (VO) S/. con precios oficiales</t>
  </si>
  <si>
    <t xml:space="preserve">   Autorización temporal.inst.cerco.provis.en área pública </t>
  </si>
  <si>
    <t>Proyecto de Sistema protección C.Incendio</t>
  </si>
  <si>
    <t>error</t>
  </si>
  <si>
    <t>Pagado</t>
  </si>
  <si>
    <t>Cobrarán después</t>
  </si>
  <si>
    <t>Por confirmar</t>
  </si>
  <si>
    <t>(según precios oficiales)</t>
  </si>
  <si>
    <t xml:space="preserve">Valores </t>
  </si>
  <si>
    <t>estimados</t>
  </si>
  <si>
    <t xml:space="preserve">GESTION DEL PROYECTO </t>
  </si>
  <si>
    <t>Personal</t>
  </si>
  <si>
    <t>Estimado</t>
  </si>
  <si>
    <t>US$ / m2</t>
  </si>
  <si>
    <t>5.07   EQUIPAMIENTO</t>
  </si>
  <si>
    <t>Nuevo monto:</t>
  </si>
  <si>
    <t>&lt;&lt;&lt;&lt;&lt;&lt;&lt;&lt;&lt;</t>
  </si>
  <si>
    <t>US$</t>
  </si>
  <si>
    <t>S/.</t>
  </si>
  <si>
    <t>está sumando dos veces las autorizaciones</t>
  </si>
  <si>
    <t>5x11642,68 no es 123440,80</t>
  </si>
  <si>
    <t>no suma bien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</si>
</sst>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0.0000"/>
    <numFmt numFmtId="167" formatCode="0.000000%"/>
  </numFmts>
  <fonts count="20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color indexed="12"/>
      <name val="Arial"/>
      <family val="2"/>
    </font>
    <font>
      <sz val="8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indexed="12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sz val="8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i/>
      <sz val="10"/>
      <name val="Arial"/>
      <family val="2"/>
    </font>
    <font>
      <i/>
      <sz val="10"/>
      <color indexed="10"/>
      <name val="Arial"/>
      <family val="2"/>
    </font>
    <font>
      <i/>
      <sz val="10"/>
      <color rgb="FFFF0000"/>
      <name val="Arial"/>
      <family val="2"/>
    </font>
    <font>
      <sz val="9"/>
      <color rgb="FFFF0000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241">
    <xf numFmtId="0" fontId="0" fillId="0" borderId="0" xfId="0"/>
    <xf numFmtId="0" fontId="1" fillId="0" borderId="0" xfId="0" applyFont="1"/>
    <xf numFmtId="4" fontId="0" fillId="0" borderId="0" xfId="0" applyNumberFormat="1"/>
    <xf numFmtId="4" fontId="1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4" fontId="1" fillId="0" borderId="4" xfId="0" applyNumberFormat="1" applyFont="1" applyBorder="1"/>
    <xf numFmtId="0" fontId="0" fillId="0" borderId="5" xfId="0" applyBorder="1"/>
    <xf numFmtId="0" fontId="0" fillId="0" borderId="6" xfId="0" applyBorder="1"/>
    <xf numFmtId="4" fontId="0" fillId="0" borderId="7" xfId="0" applyNumberFormat="1" applyBorder="1"/>
    <xf numFmtId="0" fontId="0" fillId="0" borderId="8" xfId="0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10" xfId="0" applyNumberFormat="1" applyBorder="1"/>
    <xf numFmtId="4" fontId="0" fillId="0" borderId="11" xfId="0" applyNumberFormat="1" applyBorder="1"/>
    <xf numFmtId="4" fontId="1" fillId="0" borderId="11" xfId="0" applyNumberFormat="1" applyFont="1" applyBorder="1"/>
    <xf numFmtId="0" fontId="1" fillId="0" borderId="1" xfId="0" applyFont="1" applyBorder="1"/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" fontId="0" fillId="0" borderId="0" xfId="0" applyNumberFormat="1" applyBorder="1"/>
    <xf numFmtId="0" fontId="0" fillId="0" borderId="0" xfId="0" applyFill="1" applyBorder="1"/>
    <xf numFmtId="0" fontId="0" fillId="0" borderId="12" xfId="0" applyBorder="1"/>
    <xf numFmtId="4" fontId="0" fillId="0" borderId="2" xfId="0" applyNumberFormat="1" applyBorder="1"/>
    <xf numFmtId="0" fontId="0" fillId="0" borderId="11" xfId="0" applyBorder="1" applyAlignment="1">
      <alignment horizontal="left" indent="1"/>
    </xf>
    <xf numFmtId="0" fontId="0" fillId="0" borderId="11" xfId="0" applyBorder="1"/>
    <xf numFmtId="10" fontId="0" fillId="0" borderId="11" xfId="0" applyNumberFormat="1" applyBorder="1"/>
    <xf numFmtId="0" fontId="0" fillId="0" borderId="13" xfId="0" applyBorder="1"/>
    <xf numFmtId="0" fontId="0" fillId="0" borderId="8" xfId="0" applyBorder="1" applyAlignment="1">
      <alignment horizontal="center"/>
    </xf>
    <xf numFmtId="4" fontId="5" fillId="0" borderId="0" xfId="0" applyNumberFormat="1" applyFont="1"/>
    <xf numFmtId="0" fontId="1" fillId="0" borderId="11" xfId="0" applyFont="1" applyBorder="1"/>
    <xf numFmtId="9" fontId="0" fillId="0" borderId="11" xfId="0" applyNumberFormat="1" applyBorder="1"/>
    <xf numFmtId="4" fontId="0" fillId="0" borderId="0" xfId="0" applyNumberFormat="1" applyAlignment="1">
      <alignment horizontal="right"/>
    </xf>
    <xf numFmtId="0" fontId="3" fillId="0" borderId="11" xfId="0" applyFont="1" applyBorder="1"/>
    <xf numFmtId="0" fontId="1" fillId="0" borderId="11" xfId="0" applyFont="1" applyBorder="1" applyAlignment="1">
      <alignment horizontal="left" indent="1"/>
    </xf>
    <xf numFmtId="0" fontId="1" fillId="0" borderId="11" xfId="0" applyFont="1" applyBorder="1" applyAlignment="1">
      <alignment horizontal="left"/>
    </xf>
    <xf numFmtId="0" fontId="3" fillId="0" borderId="11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0" fillId="0" borderId="12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 applyBorder="1"/>
    <xf numFmtId="0" fontId="4" fillId="0" borderId="0" xfId="0" applyFont="1" applyBorder="1" applyAlignment="1">
      <alignment horizontal="left"/>
    </xf>
    <xf numFmtId="4" fontId="1" fillId="0" borderId="3" xfId="0" applyNumberFormat="1" applyFont="1" applyBorder="1"/>
    <xf numFmtId="0" fontId="0" fillId="0" borderId="0" xfId="0" applyAlignment="1">
      <alignment horizontal="right"/>
    </xf>
    <xf numFmtId="0" fontId="8" fillId="0" borderId="0" xfId="0" applyFont="1"/>
    <xf numFmtId="0" fontId="9" fillId="0" borderId="0" xfId="0" applyFont="1"/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0" fontId="8" fillId="0" borderId="0" xfId="0" applyFont="1" applyBorder="1"/>
    <xf numFmtId="0" fontId="8" fillId="0" borderId="8" xfId="0" applyFont="1" applyBorder="1"/>
    <xf numFmtId="0" fontId="7" fillId="0" borderId="3" xfId="0" applyFont="1" applyBorder="1"/>
    <xf numFmtId="4" fontId="7" fillId="0" borderId="8" xfId="0" applyNumberFormat="1" applyFont="1" applyBorder="1"/>
    <xf numFmtId="0" fontId="8" fillId="0" borderId="3" xfId="0" applyFont="1" applyBorder="1" applyAlignment="1">
      <alignment horizontal="left" indent="1"/>
    </xf>
    <xf numFmtId="4" fontId="8" fillId="0" borderId="8" xfId="0" applyNumberFormat="1" applyFont="1" applyBorder="1"/>
    <xf numFmtId="0" fontId="8" fillId="0" borderId="5" xfId="0" applyFont="1" applyBorder="1"/>
    <xf numFmtId="0" fontId="8" fillId="0" borderId="6" xfId="0" applyFont="1" applyBorder="1"/>
    <xf numFmtId="4" fontId="8" fillId="0" borderId="9" xfId="0" applyNumberFormat="1" applyFont="1" applyBorder="1"/>
    <xf numFmtId="0" fontId="7" fillId="0" borderId="1" xfId="0" applyFont="1" applyBorder="1"/>
    <xf numFmtId="0" fontId="8" fillId="0" borderId="4" xfId="0" applyFont="1" applyBorder="1"/>
    <xf numFmtId="4" fontId="8" fillId="0" borderId="0" xfId="0" applyNumberFormat="1" applyFont="1" applyBorder="1"/>
    <xf numFmtId="4" fontId="8" fillId="0" borderId="6" xfId="0" applyNumberFormat="1" applyFont="1" applyBorder="1"/>
    <xf numFmtId="4" fontId="8" fillId="0" borderId="7" xfId="0" applyNumberFormat="1" applyFont="1" applyBorder="1"/>
    <xf numFmtId="4" fontId="8" fillId="0" borderId="2" xfId="0" applyNumberFormat="1" applyFont="1" applyBorder="1"/>
    <xf numFmtId="4" fontId="7" fillId="0" borderId="10" xfId="0" applyNumberFormat="1" applyFont="1" applyBorder="1"/>
    <xf numFmtId="4" fontId="8" fillId="0" borderId="10" xfId="0" applyNumberFormat="1" applyFont="1" applyBorder="1"/>
    <xf numFmtId="4" fontId="8" fillId="0" borderId="0" xfId="0" applyNumberFormat="1" applyFont="1"/>
    <xf numFmtId="0" fontId="7" fillId="0" borderId="0" xfId="0" applyFont="1"/>
    <xf numFmtId="0" fontId="7" fillId="0" borderId="0" xfId="0" applyFont="1" applyFill="1" applyBorder="1"/>
    <xf numFmtId="0" fontId="8" fillId="0" borderId="5" xfId="0" applyFont="1" applyBorder="1" applyAlignment="1">
      <alignment horizontal="left" indent="1"/>
    </xf>
    <xf numFmtId="10" fontId="8" fillId="0" borderId="11" xfId="0" applyNumberFormat="1" applyFont="1" applyBorder="1"/>
    <xf numFmtId="4" fontId="8" fillId="0" borderId="11" xfId="0" applyNumberFormat="1" applyFont="1" applyBorder="1"/>
    <xf numFmtId="0" fontId="8" fillId="0" borderId="13" xfId="0" applyFont="1" applyBorder="1" applyAlignment="1">
      <alignment horizontal="left" indent="1"/>
    </xf>
    <xf numFmtId="0" fontId="8" fillId="0" borderId="14" xfId="0" applyFont="1" applyBorder="1"/>
    <xf numFmtId="10" fontId="8" fillId="0" borderId="0" xfId="0" applyNumberFormat="1" applyFont="1" applyBorder="1"/>
    <xf numFmtId="0" fontId="8" fillId="0" borderId="7" xfId="0" applyFont="1" applyBorder="1"/>
    <xf numFmtId="0" fontId="8" fillId="0" borderId="12" xfId="0" applyFont="1" applyBorder="1"/>
    <xf numFmtId="0" fontId="8" fillId="0" borderId="13" xfId="0" applyFont="1" applyBorder="1"/>
    <xf numFmtId="10" fontId="8" fillId="0" borderId="14" xfId="0" applyNumberFormat="1" applyFont="1" applyBorder="1"/>
    <xf numFmtId="10" fontId="8" fillId="0" borderId="4" xfId="0" applyNumberFormat="1" applyFont="1" applyBorder="1"/>
    <xf numFmtId="0" fontId="7" fillId="0" borderId="3" xfId="0" applyFont="1" applyBorder="1" applyAlignment="1">
      <alignment horizontal="left" indent="1"/>
    </xf>
    <xf numFmtId="10" fontId="7" fillId="0" borderId="4" xfId="0" applyNumberFormat="1" applyFont="1" applyBorder="1"/>
    <xf numFmtId="0" fontId="7" fillId="0" borderId="5" xfId="0" applyFont="1" applyBorder="1" applyAlignment="1">
      <alignment horizontal="left" indent="1"/>
    </xf>
    <xf numFmtId="10" fontId="7" fillId="0" borderId="7" xfId="0" applyNumberFormat="1" applyFont="1" applyBorder="1"/>
    <xf numFmtId="10" fontId="8" fillId="0" borderId="0" xfId="0" applyNumberFormat="1" applyFont="1"/>
    <xf numFmtId="0" fontId="7" fillId="0" borderId="13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10" fillId="0" borderId="0" xfId="0" applyFont="1"/>
    <xf numFmtId="0" fontId="8" fillId="0" borderId="10" xfId="0" applyFont="1" applyBorder="1"/>
    <xf numFmtId="0" fontId="7" fillId="2" borderId="1" xfId="0" applyFont="1" applyFill="1" applyBorder="1"/>
    <xf numFmtId="0" fontId="8" fillId="2" borderId="2" xfId="0" applyFont="1" applyFill="1" applyBorder="1"/>
    <xf numFmtId="0" fontId="7" fillId="2" borderId="1" xfId="0" applyFont="1" applyFill="1" applyBorder="1" applyAlignment="1">
      <alignment vertical="center"/>
    </xf>
    <xf numFmtId="0" fontId="7" fillId="2" borderId="1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4" fontId="7" fillId="2" borderId="2" xfId="0" applyNumberFormat="1" applyFont="1" applyFill="1" applyBorder="1"/>
    <xf numFmtId="4" fontId="7" fillId="2" borderId="11" xfId="0" applyNumberFormat="1" applyFont="1" applyFill="1" applyBorder="1"/>
    <xf numFmtId="4" fontId="0" fillId="0" borderId="0" xfId="0" applyNumberFormat="1" applyAlignment="1">
      <alignment horizontal="left"/>
    </xf>
    <xf numFmtId="0" fontId="7" fillId="2" borderId="11" xfId="0" applyFont="1" applyFill="1" applyBorder="1" applyAlignment="1">
      <alignment vertical="center"/>
    </xf>
    <xf numFmtId="4" fontId="7" fillId="2" borderId="11" xfId="0" applyNumberFormat="1" applyFont="1" applyFill="1" applyBorder="1" applyAlignment="1">
      <alignment horizontal="center" vertical="center"/>
    </xf>
    <xf numFmtId="4" fontId="1" fillId="0" borderId="0" xfId="0" applyNumberFormat="1" applyFont="1" applyAlignment="1">
      <alignment horizontal="right"/>
    </xf>
    <xf numFmtId="0" fontId="1" fillId="0" borderId="11" xfId="0" applyFont="1" applyBorder="1" applyAlignment="1"/>
    <xf numFmtId="164" fontId="0" fillId="0" borderId="0" xfId="0" applyNumberFormat="1"/>
    <xf numFmtId="164" fontId="0" fillId="0" borderId="11" xfId="0" applyNumberFormat="1" applyBorder="1"/>
    <xf numFmtId="165" fontId="0" fillId="0" borderId="11" xfId="0" applyNumberFormat="1" applyBorder="1"/>
    <xf numFmtId="4" fontId="3" fillId="0" borderId="11" xfId="0" applyNumberFormat="1" applyFont="1" applyBorder="1"/>
    <xf numFmtId="0" fontId="8" fillId="0" borderId="11" xfId="0" applyFont="1" applyBorder="1"/>
    <xf numFmtId="0" fontId="8" fillId="2" borderId="1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165" fontId="0" fillId="0" borderId="0" xfId="0" applyNumberFormat="1"/>
    <xf numFmtId="4" fontId="8" fillId="0" borderId="13" xfId="0" applyNumberFormat="1" applyFont="1" applyBorder="1"/>
    <xf numFmtId="4" fontId="8" fillId="0" borderId="15" xfId="0" applyNumberFormat="1" applyFont="1" applyBorder="1"/>
    <xf numFmtId="4" fontId="8" fillId="0" borderId="3" xfId="0" applyNumberFormat="1" applyFont="1" applyBorder="1"/>
    <xf numFmtId="4" fontId="7" fillId="0" borderId="3" xfId="0" applyNumberFormat="1" applyFont="1" applyBorder="1"/>
    <xf numFmtId="4" fontId="7" fillId="0" borderId="5" xfId="0" applyNumberFormat="1" applyFont="1" applyBorder="1"/>
    <xf numFmtId="4" fontId="7" fillId="0" borderId="9" xfId="0" applyNumberFormat="1" applyFont="1" applyBorder="1"/>
    <xf numFmtId="0" fontId="7" fillId="2" borderId="15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indent="1"/>
    </xf>
    <xf numFmtId="4" fontId="8" fillId="0" borderId="1" xfId="0" applyNumberFormat="1" applyFont="1" applyBorder="1"/>
    <xf numFmtId="0" fontId="1" fillId="0" borderId="10" xfId="0" applyFont="1" applyBorder="1"/>
    <xf numFmtId="0" fontId="1" fillId="2" borderId="1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2" xfId="0" applyFill="1" applyBorder="1"/>
    <xf numFmtId="4" fontId="1" fillId="2" borderId="11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3" fillId="0" borderId="13" xfId="0" applyFont="1" applyBorder="1" applyAlignment="1">
      <alignment vertical="center"/>
    </xf>
    <xf numFmtId="0" fontId="8" fillId="0" borderId="13" xfId="0" applyFont="1" applyFill="1" applyBorder="1" applyAlignment="1">
      <alignment horizontal="left" indent="1"/>
    </xf>
    <xf numFmtId="0" fontId="8" fillId="0" borderId="3" xfId="0" applyFont="1" applyFill="1" applyBorder="1" applyAlignment="1">
      <alignment horizontal="left" indent="1"/>
    </xf>
    <xf numFmtId="0" fontId="8" fillId="0" borderId="5" xfId="0" applyFont="1" applyFill="1" applyBorder="1" applyAlignment="1">
      <alignment horizontal="left" indent="1"/>
    </xf>
    <xf numFmtId="166" fontId="8" fillId="0" borderId="0" xfId="0" applyNumberFormat="1" applyFont="1"/>
    <xf numFmtId="0" fontId="8" fillId="0" borderId="0" xfId="0" applyFont="1" applyBorder="1" applyAlignment="1">
      <alignment horizontal="left" indent="1"/>
    </xf>
    <xf numFmtId="0" fontId="4" fillId="0" borderId="0" xfId="0" applyFont="1"/>
    <xf numFmtId="0" fontId="2" fillId="0" borderId="13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horizontal="center" wrapText="1"/>
    </xf>
    <xf numFmtId="0" fontId="4" fillId="0" borderId="1" xfId="0" applyFont="1" applyBorder="1"/>
    <xf numFmtId="0" fontId="4" fillId="0" borderId="2" xfId="0" applyFont="1" applyBorder="1"/>
    <xf numFmtId="0" fontId="4" fillId="0" borderId="0" xfId="0" applyFont="1" applyBorder="1"/>
    <xf numFmtId="0" fontId="2" fillId="0" borderId="1" xfId="0" applyFont="1" applyBorder="1"/>
    <xf numFmtId="0" fontId="13" fillId="2" borderId="11" xfId="0" applyFont="1" applyFill="1" applyBorder="1" applyAlignment="1">
      <alignment horizontal="center" vertical="center"/>
    </xf>
    <xf numFmtId="4" fontId="13" fillId="2" borderId="1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4" fontId="4" fillId="0" borderId="0" xfId="0" applyNumberFormat="1" applyFont="1"/>
    <xf numFmtId="4" fontId="2" fillId="0" borderId="11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2" fillId="0" borderId="11" xfId="0" applyFont="1" applyBorder="1"/>
    <xf numFmtId="0" fontId="4" fillId="0" borderId="11" xfId="0" applyFont="1" applyBorder="1"/>
    <xf numFmtId="4" fontId="4" fillId="0" borderId="11" xfId="0" applyNumberFormat="1" applyFont="1" applyBorder="1"/>
    <xf numFmtId="4" fontId="2" fillId="0" borderId="11" xfId="0" applyNumberFormat="1" applyFont="1" applyBorder="1"/>
    <xf numFmtId="0" fontId="2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left" indent="1"/>
    </xf>
    <xf numFmtId="4" fontId="4" fillId="0" borderId="11" xfId="0" applyNumberFormat="1" applyFont="1" applyBorder="1" applyAlignment="1">
      <alignment horizontal="right"/>
    </xf>
    <xf numFmtId="4" fontId="2" fillId="0" borderId="11" xfId="0" applyNumberFormat="1" applyFont="1" applyBorder="1" applyAlignment="1">
      <alignment horizontal="right"/>
    </xf>
    <xf numFmtId="10" fontId="7" fillId="0" borderId="11" xfId="0" applyNumberFormat="1" applyFont="1" applyBorder="1"/>
    <xf numFmtId="2" fontId="8" fillId="0" borderId="11" xfId="0" applyNumberFormat="1" applyFont="1" applyBorder="1"/>
    <xf numFmtId="0" fontId="8" fillId="0" borderId="1" xfId="0" applyFont="1" applyFill="1" applyBorder="1" applyAlignment="1">
      <alignment horizontal="left" indent="1"/>
    </xf>
    <xf numFmtId="0" fontId="8" fillId="0" borderId="15" xfId="0" applyFont="1" applyBorder="1"/>
    <xf numFmtId="2" fontId="8" fillId="0" borderId="0" xfId="0" applyNumberFormat="1" applyFont="1" applyBorder="1"/>
    <xf numFmtId="0" fontId="0" fillId="0" borderId="10" xfId="0" applyBorder="1"/>
    <xf numFmtId="0" fontId="1" fillId="0" borderId="13" xfId="0" applyFont="1" applyBorder="1"/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4" fontId="0" fillId="0" borderId="14" xfId="0" applyNumberFormat="1" applyBorder="1"/>
    <xf numFmtId="10" fontId="0" fillId="0" borderId="14" xfId="0" applyNumberFormat="1" applyBorder="1"/>
    <xf numFmtId="4" fontId="0" fillId="0" borderId="15" xfId="0" applyNumberFormat="1" applyBorder="1"/>
    <xf numFmtId="0" fontId="6" fillId="0" borderId="15" xfId="0" applyFont="1" applyBorder="1" applyAlignment="1">
      <alignment horizontal="center" wrapText="1"/>
    </xf>
    <xf numFmtId="4" fontId="0" fillId="0" borderId="11" xfId="0" applyNumberFormat="1" applyBorder="1" applyAlignment="1">
      <alignment horizontal="right"/>
    </xf>
    <xf numFmtId="4" fontId="1" fillId="0" borderId="11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/>
    <xf numFmtId="4" fontId="17" fillId="0" borderId="0" xfId="0" applyNumberFormat="1" applyFont="1"/>
    <xf numFmtId="0" fontId="15" fillId="0" borderId="0" xfId="0" applyFont="1"/>
    <xf numFmtId="4" fontId="17" fillId="0" borderId="11" xfId="0" applyNumberFormat="1" applyFont="1" applyBorder="1"/>
    <xf numFmtId="0" fontId="17" fillId="0" borderId="0" xfId="0" applyFont="1"/>
    <xf numFmtId="0" fontId="3" fillId="0" borderId="2" xfId="0" applyFont="1" applyBorder="1"/>
    <xf numFmtId="0" fontId="3" fillId="0" borderId="2" xfId="0" applyFont="1" applyFill="1" applyBorder="1"/>
    <xf numFmtId="3" fontId="17" fillId="0" borderId="0" xfId="0" applyNumberFormat="1" applyFont="1" applyAlignment="1">
      <alignment horizontal="left"/>
    </xf>
    <xf numFmtId="0" fontId="3" fillId="0" borderId="1" xfId="0" applyFont="1" applyBorder="1"/>
    <xf numFmtId="4" fontId="17" fillId="0" borderId="0" xfId="0" applyNumberFormat="1" applyFont="1" applyAlignment="1">
      <alignment horizontal="right"/>
    </xf>
    <xf numFmtId="4" fontId="18" fillId="0" borderId="11" xfId="0" applyNumberFormat="1" applyFont="1" applyBorder="1"/>
    <xf numFmtId="2" fontId="16" fillId="0" borderId="0" xfId="0" applyNumberFormat="1" applyFont="1"/>
    <xf numFmtId="0" fontId="3" fillId="0" borderId="11" xfId="0" applyFont="1" applyBorder="1" applyAlignment="1">
      <alignment horizontal="left" indent="1"/>
    </xf>
    <xf numFmtId="4" fontId="1" fillId="3" borderId="11" xfId="0" applyNumberFormat="1" applyFont="1" applyFill="1" applyBorder="1"/>
    <xf numFmtId="0" fontId="0" fillId="3" borderId="11" xfId="0" applyFill="1" applyBorder="1" applyAlignment="1">
      <alignment horizontal="left" indent="1"/>
    </xf>
    <xf numFmtId="0" fontId="0" fillId="3" borderId="11" xfId="0" applyFill="1" applyBorder="1" applyAlignment="1">
      <alignment horizontal="center"/>
    </xf>
    <xf numFmtId="4" fontId="0" fillId="3" borderId="11" xfId="0" applyNumberFormat="1" applyFill="1" applyBorder="1"/>
    <xf numFmtId="0" fontId="3" fillId="3" borderId="0" xfId="0" applyFont="1" applyFill="1"/>
    <xf numFmtId="0" fontId="0" fillId="3" borderId="0" xfId="0" applyFill="1"/>
    <xf numFmtId="0" fontId="0" fillId="3" borderId="11" xfId="0" applyFill="1" applyBorder="1"/>
    <xf numFmtId="0" fontId="1" fillId="3" borderId="11" xfId="0" applyFont="1" applyFill="1" applyBorder="1"/>
    <xf numFmtId="4" fontId="2" fillId="4" borderId="11" xfId="0" applyNumberFormat="1" applyFont="1" applyFill="1" applyBorder="1"/>
    <xf numFmtId="10" fontId="0" fillId="0" borderId="0" xfId="0" applyNumberFormat="1"/>
    <xf numFmtId="10" fontId="8" fillId="0" borderId="0" xfId="1" applyNumberFormat="1" applyFont="1"/>
    <xf numFmtId="167" fontId="0" fillId="0" borderId="0" xfId="0" applyNumberFormat="1"/>
    <xf numFmtId="0" fontId="7" fillId="2" borderId="1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2" borderId="11" xfId="0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left" indent="1"/>
    </xf>
    <xf numFmtId="0" fontId="8" fillId="0" borderId="12" xfId="0" applyFont="1" applyBorder="1" applyAlignment="1">
      <alignment horizontal="left" indent="1"/>
    </xf>
    <xf numFmtId="0" fontId="8" fillId="0" borderId="1" xfId="0" applyFont="1" applyBorder="1" applyAlignment="1">
      <alignment horizontal="left" indent="1"/>
    </xf>
    <xf numFmtId="0" fontId="8" fillId="0" borderId="10" xfId="0" applyFont="1" applyBorder="1" applyAlignment="1">
      <alignment horizontal="left" indent="1"/>
    </xf>
    <xf numFmtId="0" fontId="8" fillId="0" borderId="5" xfId="0" applyFont="1" applyBorder="1" applyAlignment="1">
      <alignment horizontal="left" indent="1"/>
    </xf>
    <xf numFmtId="0" fontId="8" fillId="0" borderId="6" xfId="0" applyFont="1" applyBorder="1" applyAlignment="1">
      <alignment horizontal="left" indent="1"/>
    </xf>
    <xf numFmtId="0" fontId="7" fillId="2" borderId="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indent="1"/>
    </xf>
    <xf numFmtId="0" fontId="8" fillId="0" borderId="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3" fillId="2" borderId="11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1"/>
  <sheetViews>
    <sheetView tabSelected="1" zoomScaleNormal="100" workbookViewId="0">
      <selection activeCell="K15" sqref="K15"/>
    </sheetView>
  </sheetViews>
  <sheetFormatPr baseColWidth="10" defaultRowHeight="12.75" x14ac:dyDescent="0.2"/>
  <cols>
    <col min="1" max="1" width="6.7109375" customWidth="1"/>
    <col min="2" max="2" width="33" customWidth="1"/>
    <col min="3" max="3" width="4.7109375" customWidth="1"/>
    <col min="4" max="4" width="10.28515625" customWidth="1"/>
    <col min="6" max="8" width="10.42578125" customWidth="1"/>
    <col min="10" max="10" width="12.28515625" bestFit="1" customWidth="1"/>
  </cols>
  <sheetData>
    <row r="1" spans="2:10" ht="16.5" x14ac:dyDescent="0.3">
      <c r="B1" s="91" t="s">
        <v>2</v>
      </c>
      <c r="C1" s="91"/>
      <c r="D1" s="91"/>
      <c r="E1" s="91"/>
      <c r="F1" s="210" t="s">
        <v>16</v>
      </c>
      <c r="G1" s="210"/>
      <c r="H1" s="210"/>
    </row>
    <row r="3" spans="2:10" ht="24" customHeight="1" x14ac:dyDescent="0.2"/>
    <row r="4" spans="2:10" ht="15.75" x14ac:dyDescent="0.25">
      <c r="B4" s="207" t="s">
        <v>0</v>
      </c>
      <c r="C4" s="207"/>
      <c r="D4" s="207"/>
      <c r="E4" s="207"/>
      <c r="F4" s="207"/>
      <c r="G4" s="207"/>
      <c r="H4" s="207"/>
    </row>
    <row r="5" spans="2:10" ht="17.25" customHeight="1" x14ac:dyDescent="0.2">
      <c r="B5" s="208" t="s">
        <v>1</v>
      </c>
      <c r="C5" s="208"/>
      <c r="D5" s="208"/>
      <c r="E5" s="208"/>
      <c r="F5" s="208"/>
      <c r="G5" s="208"/>
      <c r="H5" s="208"/>
    </row>
    <row r="6" spans="2:10" x14ac:dyDescent="0.2">
      <c r="B6" s="48"/>
      <c r="C6" s="48"/>
      <c r="D6" s="48"/>
      <c r="E6" s="48"/>
      <c r="F6" s="48"/>
      <c r="G6" s="48"/>
      <c r="H6" s="48"/>
    </row>
    <row r="7" spans="2:10" ht="20.25" customHeight="1" x14ac:dyDescent="0.2">
      <c r="B7" s="48"/>
      <c r="C7" s="48"/>
      <c r="D7" s="48"/>
      <c r="E7" s="48"/>
      <c r="F7" s="48"/>
      <c r="G7" s="48"/>
      <c r="H7" s="48"/>
    </row>
    <row r="8" spans="2:10" x14ac:dyDescent="0.2">
      <c r="B8" s="62" t="s">
        <v>3</v>
      </c>
      <c r="C8" s="51"/>
      <c r="D8" s="51"/>
      <c r="E8" s="51"/>
      <c r="F8" s="51"/>
      <c r="G8" s="51"/>
      <c r="H8" s="92"/>
    </row>
    <row r="9" spans="2:10" ht="13.5" customHeight="1" x14ac:dyDescent="0.2">
      <c r="B9" s="48"/>
      <c r="C9" s="48"/>
      <c r="D9" s="48"/>
      <c r="E9" s="48"/>
      <c r="F9" s="48"/>
      <c r="G9" s="48"/>
      <c r="H9" s="48"/>
    </row>
    <row r="10" spans="2:10" ht="18" customHeight="1" x14ac:dyDescent="0.2">
      <c r="B10" s="95" t="s">
        <v>4</v>
      </c>
      <c r="C10" s="94"/>
      <c r="D10" s="94"/>
      <c r="E10" s="94"/>
      <c r="F10" s="96" t="s">
        <v>5</v>
      </c>
      <c r="G10" s="97"/>
      <c r="H10" s="96" t="s">
        <v>6</v>
      </c>
    </row>
    <row r="11" spans="2:10" x14ac:dyDescent="0.2">
      <c r="B11" s="52"/>
      <c r="C11" s="53"/>
      <c r="D11" s="53"/>
      <c r="E11" s="53"/>
      <c r="F11" s="53"/>
      <c r="G11" s="53"/>
      <c r="H11" s="54"/>
    </row>
    <row r="12" spans="2:10" x14ac:dyDescent="0.2">
      <c r="B12" s="55" t="s">
        <v>7</v>
      </c>
      <c r="C12" s="53"/>
      <c r="D12" s="53"/>
      <c r="E12" s="53"/>
      <c r="F12" s="53" t="s">
        <v>281</v>
      </c>
      <c r="G12" s="53"/>
      <c r="H12" s="56">
        <f>SUM(H13:H17)</f>
        <v>6923477.3636360001</v>
      </c>
      <c r="J12" s="2" t="s">
        <v>281</v>
      </c>
    </row>
    <row r="13" spans="2:10" x14ac:dyDescent="0.2">
      <c r="B13" s="57" t="s">
        <v>8</v>
      </c>
      <c r="C13" s="53"/>
      <c r="D13" s="53"/>
      <c r="E13" s="53"/>
      <c r="F13" s="53"/>
      <c r="G13" s="53"/>
      <c r="H13" s="58">
        <f>Terreno!J14</f>
        <v>1468543.22</v>
      </c>
      <c r="J13" t="s">
        <v>281</v>
      </c>
    </row>
    <row r="14" spans="2:10" x14ac:dyDescent="0.2">
      <c r="B14" s="57" t="s">
        <v>9</v>
      </c>
      <c r="C14" s="53"/>
      <c r="D14" s="53"/>
      <c r="E14" s="53"/>
      <c r="F14" s="53"/>
      <c r="G14" s="53"/>
      <c r="H14" s="58">
        <f>Terreno!J42</f>
        <v>247984.96667200001</v>
      </c>
      <c r="J14" s="2" t="s">
        <v>281</v>
      </c>
    </row>
    <row r="15" spans="2:10" x14ac:dyDescent="0.2">
      <c r="B15" s="57" t="s">
        <v>10</v>
      </c>
      <c r="C15" s="53"/>
      <c r="D15" s="53"/>
      <c r="E15" s="53"/>
      <c r="F15" s="53"/>
      <c r="G15" s="53"/>
      <c r="H15" s="58">
        <f>Terreno!J91</f>
        <v>66690.12</v>
      </c>
    </row>
    <row r="16" spans="2:10" x14ac:dyDescent="0.2">
      <c r="B16" s="57" t="s">
        <v>11</v>
      </c>
      <c r="C16" s="53"/>
      <c r="D16" s="53"/>
      <c r="E16" s="53"/>
      <c r="F16" s="53"/>
      <c r="G16" s="53"/>
      <c r="H16" s="58">
        <f>Terreno!J126</f>
        <v>68410.216964000007</v>
      </c>
    </row>
    <row r="17" spans="2:12" x14ac:dyDescent="0.2">
      <c r="B17" s="57" t="s">
        <v>12</v>
      </c>
      <c r="C17" s="53"/>
      <c r="D17" s="53"/>
      <c r="E17" s="53"/>
      <c r="F17" s="64">
        <f>H17-H17/1.18</f>
        <v>773671.85694915242</v>
      </c>
      <c r="G17" s="53"/>
      <c r="H17" s="58">
        <f>Terreno!H182</f>
        <v>5071848.84</v>
      </c>
    </row>
    <row r="18" spans="2:12" x14ac:dyDescent="0.2">
      <c r="B18" s="55" t="s">
        <v>13</v>
      </c>
      <c r="C18" s="53"/>
      <c r="D18" s="53"/>
      <c r="E18" s="53"/>
      <c r="F18" s="53" t="str">
        <f>F12</f>
        <v xml:space="preserve"> </v>
      </c>
      <c r="G18" s="53"/>
      <c r="H18" s="56">
        <f>SUM(H19:H20)</f>
        <v>648145</v>
      </c>
    </row>
    <row r="19" spans="2:12" x14ac:dyDescent="0.2">
      <c r="B19" s="57" t="s">
        <v>14</v>
      </c>
      <c r="C19" s="53"/>
      <c r="D19" s="53"/>
      <c r="E19" s="53"/>
      <c r="F19" s="53"/>
      <c r="G19" s="53"/>
      <c r="H19" s="58">
        <f>Comercialización!K16</f>
        <v>307285</v>
      </c>
    </row>
    <row r="20" spans="2:12" x14ac:dyDescent="0.2">
      <c r="B20" s="57" t="s">
        <v>15</v>
      </c>
      <c r="C20" s="53"/>
      <c r="D20" s="53"/>
      <c r="E20" s="53"/>
      <c r="F20" s="53"/>
      <c r="G20" s="53"/>
      <c r="H20" s="58">
        <f>Terreno!J212</f>
        <v>340860</v>
      </c>
    </row>
    <row r="21" spans="2:12" x14ac:dyDescent="0.2">
      <c r="B21" s="59"/>
      <c r="C21" s="60"/>
      <c r="D21" s="60"/>
      <c r="E21" s="60"/>
      <c r="F21" s="60"/>
      <c r="G21" s="60"/>
      <c r="H21" s="61"/>
    </row>
    <row r="22" spans="2:12" x14ac:dyDescent="0.2">
      <c r="B22" s="93" t="s">
        <v>17</v>
      </c>
      <c r="C22" s="94"/>
      <c r="D22" s="94"/>
      <c r="E22" s="94"/>
      <c r="F22" s="101">
        <f>F17</f>
        <v>773671.85694915242</v>
      </c>
      <c r="G22" s="94"/>
      <c r="H22" s="102">
        <f>H12+H18</f>
        <v>7571622.3636360001</v>
      </c>
    </row>
    <row r="23" spans="2:12" ht="48" customHeight="1" x14ac:dyDescent="0.2">
      <c r="B23" s="48"/>
      <c r="C23" s="48"/>
      <c r="D23" s="48"/>
      <c r="E23" s="48"/>
      <c r="F23" s="48"/>
      <c r="G23" s="48"/>
      <c r="H23" s="48"/>
    </row>
    <row r="24" spans="2:12" x14ac:dyDescent="0.2">
      <c r="B24" s="62" t="s">
        <v>18</v>
      </c>
      <c r="C24" s="51"/>
      <c r="D24" s="51"/>
      <c r="E24" s="51"/>
      <c r="F24" s="51"/>
      <c r="G24" s="51"/>
      <c r="H24" s="92"/>
    </row>
    <row r="25" spans="2:12" x14ac:dyDescent="0.2">
      <c r="B25" s="48"/>
      <c r="C25" s="48"/>
      <c r="D25" s="48"/>
      <c r="E25" s="48"/>
      <c r="F25" s="48"/>
      <c r="G25" s="48"/>
      <c r="H25" s="48"/>
    </row>
    <row r="26" spans="2:12" s="1" customFormat="1" ht="18" customHeight="1" x14ac:dyDescent="0.2">
      <c r="B26" s="211" t="s">
        <v>19</v>
      </c>
      <c r="C26" s="212"/>
      <c r="D26" s="100" t="s">
        <v>20</v>
      </c>
      <c r="E26" s="96" t="s">
        <v>21</v>
      </c>
      <c r="F26" s="96" t="s">
        <v>22</v>
      </c>
      <c r="G26" s="96" t="s">
        <v>23</v>
      </c>
      <c r="H26" s="96" t="s">
        <v>24</v>
      </c>
    </row>
    <row r="27" spans="2:12" x14ac:dyDescent="0.2">
      <c r="B27" s="52"/>
      <c r="C27" s="53"/>
      <c r="D27" s="53"/>
      <c r="E27" s="53"/>
      <c r="F27" s="53"/>
      <c r="G27" s="53"/>
      <c r="H27" s="63"/>
    </row>
    <row r="28" spans="2:12" x14ac:dyDescent="0.2">
      <c r="B28" s="81" t="s">
        <v>25</v>
      </c>
      <c r="C28" s="77"/>
      <c r="D28" s="69">
        <v>95</v>
      </c>
      <c r="E28" s="75">
        <v>70.81</v>
      </c>
      <c r="F28" s="75">
        <v>95593.5</v>
      </c>
      <c r="G28" s="75">
        <f>F28*D28</f>
        <v>9081382.5</v>
      </c>
      <c r="H28" s="75"/>
      <c r="K28">
        <f>+F28/E28</f>
        <v>1350</v>
      </c>
      <c r="L28">
        <f>+K28/1.18</f>
        <v>1144.0677966101696</v>
      </c>
    </row>
    <row r="29" spans="2:12" x14ac:dyDescent="0.2">
      <c r="B29" s="50" t="s">
        <v>26</v>
      </c>
      <c r="C29" s="92"/>
      <c r="D29" s="69">
        <v>71</v>
      </c>
      <c r="E29" s="75"/>
      <c r="F29" s="75">
        <v>8300</v>
      </c>
      <c r="G29" s="75">
        <f>F29*D29</f>
        <v>589300</v>
      </c>
      <c r="H29" s="75"/>
    </row>
    <row r="30" spans="2:12" x14ac:dyDescent="0.2">
      <c r="B30" s="59" t="s">
        <v>27</v>
      </c>
      <c r="C30" s="79"/>
      <c r="D30" s="69">
        <v>32</v>
      </c>
      <c r="E30" s="75"/>
      <c r="F30" s="75">
        <v>1500</v>
      </c>
      <c r="G30" s="75">
        <f>F30*D30</f>
        <v>48000</v>
      </c>
      <c r="H30" s="75"/>
    </row>
    <row r="31" spans="2:12" x14ac:dyDescent="0.2">
      <c r="B31" s="59" t="s">
        <v>28</v>
      </c>
      <c r="C31" s="60"/>
      <c r="D31" s="67"/>
      <c r="E31" s="67"/>
      <c r="F31" s="67"/>
      <c r="G31" s="67"/>
      <c r="H31" s="68">
        <f>SUM(G28:G30)</f>
        <v>9718682.5</v>
      </c>
    </row>
    <row r="32" spans="2:12" x14ac:dyDescent="0.2">
      <c r="B32" s="50" t="s">
        <v>29</v>
      </c>
      <c r="C32" s="51"/>
      <c r="D32" s="67"/>
      <c r="E32" s="67"/>
      <c r="F32" s="67"/>
      <c r="G32" s="67"/>
      <c r="H32" s="69">
        <f>H31/1.09</f>
        <v>8916222.4770642202</v>
      </c>
    </row>
    <row r="33" spans="2:8" x14ac:dyDescent="0.2">
      <c r="B33" s="59" t="s">
        <v>5</v>
      </c>
      <c r="C33" s="60"/>
      <c r="D33" s="65"/>
      <c r="E33" s="65"/>
      <c r="F33" s="65"/>
      <c r="G33" s="65"/>
      <c r="H33" s="66">
        <f>H31-H32</f>
        <v>802460.02293577977</v>
      </c>
    </row>
    <row r="34" spans="2:8" ht="48" customHeight="1" x14ac:dyDescent="0.2">
      <c r="B34" s="48"/>
      <c r="C34" s="48"/>
      <c r="D34" s="70"/>
      <c r="E34" s="70"/>
      <c r="F34" s="70"/>
      <c r="G34" s="70"/>
      <c r="H34" s="70"/>
    </row>
    <row r="35" spans="2:8" x14ac:dyDescent="0.2">
      <c r="B35" s="71" t="s">
        <v>30</v>
      </c>
      <c r="C35" s="48"/>
      <c r="D35" s="70"/>
      <c r="E35" s="70"/>
      <c r="F35" s="70"/>
      <c r="G35" s="70"/>
      <c r="H35" s="70"/>
    </row>
    <row r="36" spans="2:8" x14ac:dyDescent="0.2">
      <c r="B36" s="48"/>
      <c r="C36" s="48"/>
      <c r="D36" s="70"/>
      <c r="E36" s="70"/>
      <c r="F36" s="70"/>
      <c r="G36" s="70"/>
      <c r="H36" s="70"/>
    </row>
    <row r="37" spans="2:8" x14ac:dyDescent="0.2">
      <c r="B37" s="72" t="s">
        <v>31</v>
      </c>
      <c r="C37" s="48"/>
      <c r="D37" s="48"/>
      <c r="E37" s="48"/>
      <c r="F37" s="48"/>
      <c r="G37" s="48"/>
      <c r="H37" s="48"/>
    </row>
    <row r="38" spans="2:8" x14ac:dyDescent="0.2">
      <c r="B38" s="72"/>
      <c r="C38" s="48"/>
      <c r="D38" s="48"/>
      <c r="E38" s="48"/>
      <c r="F38" s="48"/>
      <c r="G38" s="48"/>
      <c r="H38" s="48"/>
    </row>
    <row r="39" spans="2:8" ht="18" customHeight="1" x14ac:dyDescent="0.2">
      <c r="B39" s="209" t="s">
        <v>19</v>
      </c>
      <c r="C39" s="209"/>
      <c r="D39" s="96" t="s">
        <v>32</v>
      </c>
      <c r="E39" s="96" t="s">
        <v>290</v>
      </c>
      <c r="F39" s="48"/>
      <c r="G39" s="48"/>
      <c r="H39" s="48"/>
    </row>
    <row r="40" spans="2:8" ht="12" customHeight="1" x14ac:dyDescent="0.2">
      <c r="B40" s="98"/>
      <c r="C40" s="99"/>
      <c r="D40" s="98"/>
      <c r="E40" s="98"/>
      <c r="F40" s="48"/>
      <c r="G40" s="48"/>
      <c r="H40" s="48"/>
    </row>
    <row r="41" spans="2:8" x14ac:dyDescent="0.2">
      <c r="B41" s="57" t="s">
        <v>33</v>
      </c>
      <c r="C41" s="53"/>
      <c r="D41" s="74">
        <v>0.2</v>
      </c>
      <c r="E41" s="75">
        <v>1487320.96</v>
      </c>
      <c r="F41" s="48"/>
      <c r="G41" s="48"/>
      <c r="H41" s="48"/>
    </row>
    <row r="42" spans="2:8" x14ac:dyDescent="0.2">
      <c r="B42" s="215" t="s">
        <v>34</v>
      </c>
      <c r="C42" s="216"/>
      <c r="D42" s="74">
        <v>0.5</v>
      </c>
      <c r="E42" s="75">
        <v>3718302.4</v>
      </c>
      <c r="F42" s="48"/>
      <c r="G42" s="48"/>
      <c r="H42" s="48"/>
    </row>
    <row r="43" spans="2:8" x14ac:dyDescent="0.2">
      <c r="B43" s="217" t="s">
        <v>35</v>
      </c>
      <c r="C43" s="231"/>
      <c r="D43" s="74">
        <v>0.3</v>
      </c>
      <c r="E43" s="75">
        <v>2230981.44</v>
      </c>
      <c r="F43" s="48"/>
      <c r="G43" s="48"/>
      <c r="H43" s="48"/>
    </row>
    <row r="44" spans="2:8" x14ac:dyDescent="0.2">
      <c r="B44" s="232" t="s">
        <v>36</v>
      </c>
      <c r="C44" s="233"/>
      <c r="D44" s="74">
        <f>SUM(D41:D43)</f>
        <v>1</v>
      </c>
      <c r="E44" s="75">
        <f>H22</f>
        <v>7571622.3636360001</v>
      </c>
      <c r="F44" s="48"/>
      <c r="G44" s="48"/>
      <c r="H44" s="48"/>
    </row>
    <row r="45" spans="2:8" x14ac:dyDescent="0.2">
      <c r="B45" s="48"/>
      <c r="C45" s="48"/>
      <c r="D45" s="48"/>
      <c r="E45" s="48"/>
      <c r="F45" s="48"/>
      <c r="G45" s="48"/>
      <c r="H45" s="48"/>
    </row>
    <row r="46" spans="2:8" x14ac:dyDescent="0.2">
      <c r="B46" s="72" t="s">
        <v>37</v>
      </c>
      <c r="C46" s="48"/>
      <c r="D46" s="48"/>
      <c r="E46" s="48"/>
      <c r="F46" s="48"/>
      <c r="G46" s="48"/>
      <c r="H46" s="48"/>
    </row>
    <row r="47" spans="2:8" ht="18" customHeight="1" x14ac:dyDescent="0.2">
      <c r="B47" s="209" t="s">
        <v>19</v>
      </c>
      <c r="C47" s="209"/>
      <c r="D47" s="96" t="s">
        <v>38</v>
      </c>
      <c r="E47" s="96" t="s">
        <v>39</v>
      </c>
      <c r="F47" s="48"/>
      <c r="G47" s="48"/>
      <c r="H47" s="48"/>
    </row>
    <row r="48" spans="2:8" x14ac:dyDescent="0.2">
      <c r="B48" s="213" t="s">
        <v>40</v>
      </c>
      <c r="C48" s="214"/>
      <c r="D48" s="75">
        <v>3718302.4</v>
      </c>
      <c r="E48" s="75">
        <v>17614</v>
      </c>
      <c r="F48" s="48"/>
      <c r="G48" s="48"/>
      <c r="H48" s="48"/>
    </row>
    <row r="49" spans="2:9" x14ac:dyDescent="0.2">
      <c r="B49" s="215" t="s">
        <v>41</v>
      </c>
      <c r="C49" s="216"/>
      <c r="D49" s="74">
        <v>0.06</v>
      </c>
      <c r="E49" s="112"/>
      <c r="F49" s="48"/>
      <c r="G49" s="48"/>
      <c r="H49" s="48"/>
    </row>
    <row r="50" spans="2:9" x14ac:dyDescent="0.2">
      <c r="B50" s="217" t="s">
        <v>42</v>
      </c>
      <c r="C50" s="218"/>
      <c r="D50" s="164">
        <v>12</v>
      </c>
      <c r="E50" s="112"/>
      <c r="F50" s="48"/>
      <c r="G50" s="48"/>
      <c r="H50" s="48"/>
    </row>
    <row r="51" spans="2:9" x14ac:dyDescent="0.2">
      <c r="B51" s="140"/>
      <c r="C51" s="140"/>
      <c r="D51" s="167"/>
      <c r="E51" s="53"/>
      <c r="F51" s="48"/>
      <c r="G51" s="48"/>
      <c r="H51" s="48"/>
    </row>
    <row r="52" spans="2:9" ht="12.75" customHeight="1" x14ac:dyDescent="0.2">
      <c r="B52" s="48"/>
      <c r="C52" s="48"/>
      <c r="D52" s="48"/>
      <c r="E52" s="48"/>
      <c r="F52" s="48"/>
      <c r="G52" s="48"/>
      <c r="H52" s="48"/>
    </row>
    <row r="53" spans="2:9" x14ac:dyDescent="0.2">
      <c r="B53" s="49" t="s">
        <v>43</v>
      </c>
      <c r="C53" s="48"/>
      <c r="D53" s="48"/>
      <c r="E53" s="48"/>
      <c r="F53" s="48"/>
      <c r="G53" s="48"/>
      <c r="H53" s="48"/>
    </row>
    <row r="54" spans="2:9" x14ac:dyDescent="0.2">
      <c r="B54" s="48"/>
      <c r="C54" s="48"/>
      <c r="D54" s="48"/>
      <c r="E54" s="48"/>
      <c r="F54" s="48"/>
      <c r="G54" s="48"/>
      <c r="H54" s="48"/>
    </row>
    <row r="55" spans="2:9" x14ac:dyDescent="0.2">
      <c r="B55" s="220" t="s">
        <v>44</v>
      </c>
      <c r="C55" s="221"/>
      <c r="D55" s="222"/>
      <c r="E55" s="123" t="s">
        <v>45</v>
      </c>
      <c r="F55" s="123" t="s">
        <v>47</v>
      </c>
      <c r="G55" s="205" t="s">
        <v>49</v>
      </c>
      <c r="H55" s="48"/>
    </row>
    <row r="56" spans="2:9" x14ac:dyDescent="0.2">
      <c r="B56" s="223"/>
      <c r="C56" s="224"/>
      <c r="D56" s="225"/>
      <c r="E56" s="124" t="s">
        <v>46</v>
      </c>
      <c r="F56" s="124" t="s">
        <v>48</v>
      </c>
      <c r="G56" s="206"/>
      <c r="H56" s="48"/>
    </row>
    <row r="57" spans="2:9" x14ac:dyDescent="0.2">
      <c r="B57" s="76" t="s">
        <v>51</v>
      </c>
      <c r="C57" s="80"/>
      <c r="D57" s="80"/>
      <c r="E57" s="117">
        <f>H32</f>
        <v>8916222.4770642202</v>
      </c>
      <c r="F57" s="118">
        <f>E57</f>
        <v>8916222.4770642202</v>
      </c>
      <c r="G57" s="82">
        <v>1</v>
      </c>
    </row>
    <row r="58" spans="2:9" x14ac:dyDescent="0.2">
      <c r="B58" s="52" t="s">
        <v>50</v>
      </c>
      <c r="C58" s="53"/>
      <c r="D58" s="53"/>
      <c r="E58" s="119">
        <f>H12</f>
        <v>6923477.3636360001</v>
      </c>
      <c r="F58" s="58">
        <f>E58</f>
        <v>6923477.3636360001</v>
      </c>
      <c r="G58" s="83">
        <v>0.77529999999999999</v>
      </c>
      <c r="H58" s="203">
        <f>+E58*1/E57</f>
        <v>0.77650343309015801</v>
      </c>
      <c r="I58" s="202"/>
    </row>
    <row r="59" spans="2:9" x14ac:dyDescent="0.2">
      <c r="B59" s="84" t="s">
        <v>52</v>
      </c>
      <c r="C59" s="53"/>
      <c r="D59" s="53"/>
      <c r="E59" s="120">
        <f>E57-E58</f>
        <v>1992745.1134282202</v>
      </c>
      <c r="F59" s="56">
        <f>E59</f>
        <v>1992745.1134282202</v>
      </c>
      <c r="G59" s="85">
        <f>F59/F57</f>
        <v>0.22349656690984193</v>
      </c>
      <c r="H59" s="88">
        <f>+E59*1/E57</f>
        <v>0.22349656690984193</v>
      </c>
    </row>
    <row r="60" spans="2:9" x14ac:dyDescent="0.2">
      <c r="B60" s="52" t="s">
        <v>53</v>
      </c>
      <c r="C60" s="53"/>
      <c r="D60" s="53"/>
      <c r="E60" s="119">
        <f>H18</f>
        <v>648145</v>
      </c>
      <c r="F60" s="58">
        <f>E60</f>
        <v>648145</v>
      </c>
      <c r="G60" s="83">
        <v>7.2599999999999998E-2</v>
      </c>
      <c r="H60" s="203">
        <f>+E60*1/E57</f>
        <v>7.2692780117058042E-2</v>
      </c>
    </row>
    <row r="61" spans="2:9" x14ac:dyDescent="0.2">
      <c r="B61" s="84" t="s">
        <v>54</v>
      </c>
      <c r="C61" s="53"/>
      <c r="D61" s="53"/>
      <c r="E61" s="120">
        <f>E59-E60</f>
        <v>1344600.1134282202</v>
      </c>
      <c r="F61" s="56">
        <f>E61</f>
        <v>1344600.1134282202</v>
      </c>
      <c r="G61" s="85">
        <v>0.15210000000000001</v>
      </c>
      <c r="H61" s="203">
        <f>+E61*1/E57</f>
        <v>0.15080378679278389</v>
      </c>
    </row>
    <row r="62" spans="2:9" x14ac:dyDescent="0.2">
      <c r="B62" s="52" t="s">
        <v>55</v>
      </c>
      <c r="C62" s="53"/>
      <c r="D62" s="53"/>
      <c r="E62" s="52"/>
      <c r="F62" s="58">
        <v>17614</v>
      </c>
      <c r="G62" s="83">
        <v>2E-3</v>
      </c>
      <c r="H62" s="203">
        <f>F62*1/E57</f>
        <v>1.9755002800019446E-3</v>
      </c>
    </row>
    <row r="63" spans="2:9" x14ac:dyDescent="0.2">
      <c r="B63" s="84" t="s">
        <v>56</v>
      </c>
      <c r="C63" s="53"/>
      <c r="D63" s="53"/>
      <c r="E63" s="120">
        <f>E61</f>
        <v>1344600.1134282202</v>
      </c>
      <c r="F63" s="56">
        <f>F61-F62</f>
        <v>1326986.1134282202</v>
      </c>
      <c r="G63" s="85">
        <v>0.1502</v>
      </c>
      <c r="H63" s="203">
        <f>E63*1/E57</f>
        <v>0.15080378679278389</v>
      </c>
    </row>
    <row r="64" spans="2:9" x14ac:dyDescent="0.2">
      <c r="B64" s="52" t="s">
        <v>57</v>
      </c>
      <c r="C64" s="53"/>
      <c r="D64" s="78">
        <v>0.3</v>
      </c>
      <c r="E64" s="119">
        <f>D64*E63</f>
        <v>403380.03402846603</v>
      </c>
      <c r="F64" s="58">
        <f>D64*F63</f>
        <v>398095.83402846602</v>
      </c>
      <c r="G64" s="83">
        <v>4.4999999999999998E-2</v>
      </c>
      <c r="H64" s="203">
        <f>E64*1/E57</f>
        <v>4.5241136037835167E-2</v>
      </c>
    </row>
    <row r="65" spans="2:10" x14ac:dyDescent="0.2">
      <c r="B65" s="86" t="s">
        <v>58</v>
      </c>
      <c r="C65" s="60"/>
      <c r="D65" s="60"/>
      <c r="E65" s="121">
        <f>E63-E64</f>
        <v>941220.07939975406</v>
      </c>
      <c r="F65" s="122">
        <f>F63-F64</f>
        <v>928890.27939975413</v>
      </c>
      <c r="G65" s="87">
        <v>0.1051</v>
      </c>
      <c r="H65" s="203">
        <f>E65*1/E57</f>
        <v>0.10556265075494872</v>
      </c>
      <c r="I65" s="204"/>
      <c r="J65" s="204"/>
    </row>
    <row r="66" spans="2:10" x14ac:dyDescent="0.2">
      <c r="B66" s="48"/>
      <c r="C66" s="48"/>
      <c r="D66" s="48"/>
      <c r="E66" s="48"/>
      <c r="F66" s="48"/>
      <c r="G66" s="48"/>
      <c r="H66" s="48"/>
    </row>
    <row r="67" spans="2:10" x14ac:dyDescent="0.2">
      <c r="B67" s="48"/>
      <c r="C67" s="48"/>
      <c r="D67" s="48"/>
      <c r="E67" s="48"/>
      <c r="F67" s="48"/>
      <c r="G67" s="48"/>
      <c r="H67" s="48"/>
    </row>
    <row r="68" spans="2:10" x14ac:dyDescent="0.2">
      <c r="B68" s="48"/>
      <c r="C68" s="48"/>
      <c r="D68" s="48"/>
      <c r="E68" s="48"/>
      <c r="F68" s="48"/>
      <c r="G68" s="48"/>
      <c r="H68" s="48"/>
    </row>
    <row r="69" spans="2:10" x14ac:dyDescent="0.2">
      <c r="B69" s="220" t="s">
        <v>59</v>
      </c>
      <c r="C69" s="226"/>
      <c r="D69" s="227"/>
      <c r="E69" s="123" t="s">
        <v>45</v>
      </c>
      <c r="F69" s="123" t="s">
        <v>47</v>
      </c>
      <c r="G69" s="48"/>
      <c r="H69" s="48"/>
    </row>
    <row r="70" spans="2:10" x14ac:dyDescent="0.2">
      <c r="B70" s="228"/>
      <c r="C70" s="229"/>
      <c r="D70" s="230"/>
      <c r="E70" s="124" t="s">
        <v>46</v>
      </c>
      <c r="F70" s="124" t="s">
        <v>48</v>
      </c>
      <c r="G70" s="48"/>
      <c r="H70" s="48"/>
    </row>
    <row r="71" spans="2:10" x14ac:dyDescent="0.2">
      <c r="B71" s="89" t="s">
        <v>60</v>
      </c>
      <c r="C71" s="80"/>
      <c r="D71" s="80"/>
      <c r="E71" s="112"/>
      <c r="F71" s="112"/>
      <c r="G71" s="48"/>
      <c r="H71" s="48"/>
    </row>
    <row r="72" spans="2:10" x14ac:dyDescent="0.2">
      <c r="B72" s="57" t="s">
        <v>61</v>
      </c>
      <c r="C72" s="53"/>
      <c r="D72" s="53"/>
      <c r="E72" s="74">
        <v>0.22470000000000001</v>
      </c>
      <c r="F72" s="74">
        <v>0.22470000000000001</v>
      </c>
      <c r="G72" s="139" t="s">
        <v>281</v>
      </c>
      <c r="H72" s="139" t="s">
        <v>281</v>
      </c>
    </row>
    <row r="73" spans="2:10" x14ac:dyDescent="0.2">
      <c r="B73" s="57" t="s">
        <v>62</v>
      </c>
      <c r="C73" s="53"/>
      <c r="D73" s="53"/>
      <c r="E73" s="74">
        <v>0.152</v>
      </c>
      <c r="F73" s="74">
        <f>E61/E57</f>
        <v>0.15080378679278389</v>
      </c>
      <c r="G73" s="139" t="s">
        <v>281</v>
      </c>
      <c r="H73" s="139" t="s">
        <v>281</v>
      </c>
    </row>
    <row r="74" spans="2:10" x14ac:dyDescent="0.2">
      <c r="B74" s="57" t="s">
        <v>63</v>
      </c>
      <c r="C74" s="53"/>
      <c r="D74" s="53"/>
      <c r="E74" s="163">
        <v>0.10639999999999999</v>
      </c>
      <c r="F74" s="163">
        <v>0.105</v>
      </c>
      <c r="G74" s="139" t="s">
        <v>281</v>
      </c>
      <c r="H74" s="139" t="s">
        <v>281</v>
      </c>
    </row>
    <row r="75" spans="2:10" x14ac:dyDescent="0.2">
      <c r="B75" s="57"/>
      <c r="C75" s="53"/>
      <c r="D75" s="53"/>
      <c r="E75" s="163"/>
      <c r="F75" s="163"/>
      <c r="G75" s="48"/>
      <c r="H75" s="48"/>
    </row>
    <row r="76" spans="2:10" x14ac:dyDescent="0.2">
      <c r="B76" s="90" t="s">
        <v>64</v>
      </c>
      <c r="C76" s="53"/>
      <c r="D76" s="53"/>
      <c r="E76" s="112"/>
      <c r="F76" s="112"/>
      <c r="G76" s="48"/>
      <c r="H76" s="48"/>
    </row>
    <row r="77" spans="2:10" x14ac:dyDescent="0.2">
      <c r="B77" s="57" t="s">
        <v>65</v>
      </c>
      <c r="C77" s="53"/>
      <c r="D77" s="53"/>
      <c r="E77" s="74">
        <f>E65/E44</f>
        <v>0.12430890424753921</v>
      </c>
      <c r="F77" s="74">
        <f>F65/E44</f>
        <v>0.12268048177639011</v>
      </c>
      <c r="G77" s="48"/>
      <c r="H77" s="48"/>
    </row>
    <row r="78" spans="2:10" x14ac:dyDescent="0.2">
      <c r="B78" s="73" t="s">
        <v>66</v>
      </c>
      <c r="C78" s="60"/>
      <c r="D78" s="60"/>
      <c r="E78" s="163">
        <f>E65/E41</f>
        <v>0.63282916378705112</v>
      </c>
      <c r="F78" s="163">
        <f>F65/E41</f>
        <v>0.62453922480844626</v>
      </c>
      <c r="G78" s="48"/>
      <c r="H78" s="48"/>
    </row>
    <row r="79" spans="2:10" x14ac:dyDescent="0.2">
      <c r="B79" s="48"/>
      <c r="C79" s="48"/>
      <c r="D79" s="48"/>
      <c r="E79" s="48"/>
      <c r="F79" s="48"/>
      <c r="G79" s="48"/>
      <c r="H79" s="48"/>
    </row>
    <row r="80" spans="2:10" x14ac:dyDescent="0.2">
      <c r="B80" s="49" t="s">
        <v>67</v>
      </c>
      <c r="C80" s="48"/>
      <c r="D80" s="48"/>
      <c r="E80" s="48"/>
      <c r="F80" s="48"/>
      <c r="G80" s="48"/>
      <c r="H80" s="48"/>
    </row>
    <row r="81" spans="2:9" x14ac:dyDescent="0.2">
      <c r="B81" s="48"/>
      <c r="C81" s="48"/>
      <c r="D81" s="48"/>
      <c r="E81" s="48"/>
      <c r="F81" s="48"/>
      <c r="G81" s="48"/>
      <c r="H81" s="48"/>
    </row>
    <row r="82" spans="2:9" ht="25.5" x14ac:dyDescent="0.2">
      <c r="B82" s="211" t="s">
        <v>19</v>
      </c>
      <c r="C82" s="219"/>
      <c r="D82" s="125" t="s">
        <v>68</v>
      </c>
      <c r="E82" s="96" t="s">
        <v>41</v>
      </c>
      <c r="F82" s="100" t="s">
        <v>69</v>
      </c>
      <c r="G82" s="48"/>
      <c r="H82" s="48"/>
    </row>
    <row r="83" spans="2:9" x14ac:dyDescent="0.2">
      <c r="B83" s="126" t="s">
        <v>70</v>
      </c>
      <c r="C83" s="51"/>
      <c r="D83" s="127">
        <f>E57</f>
        <v>8916222.4770642202</v>
      </c>
      <c r="E83" s="74">
        <v>0.09</v>
      </c>
      <c r="F83" s="69">
        <f>E83*D83</f>
        <v>802460.02293577977</v>
      </c>
      <c r="G83" s="48"/>
      <c r="H83" s="48"/>
    </row>
    <row r="84" spans="2:9" x14ac:dyDescent="0.2">
      <c r="B84" s="126" t="s">
        <v>71</v>
      </c>
      <c r="C84" s="51"/>
      <c r="D84" s="112"/>
      <c r="E84" s="74">
        <v>0.18</v>
      </c>
      <c r="F84" s="75">
        <f>F22</f>
        <v>773671.85694915242</v>
      </c>
      <c r="G84" s="48"/>
      <c r="H84" s="48"/>
    </row>
    <row r="85" spans="2:9" x14ac:dyDescent="0.2">
      <c r="B85" s="52"/>
      <c r="C85" s="53"/>
      <c r="D85" s="53"/>
      <c r="E85" s="53"/>
      <c r="F85" s="63"/>
      <c r="G85" s="48"/>
      <c r="H85" s="48"/>
    </row>
    <row r="86" spans="2:9" x14ac:dyDescent="0.2">
      <c r="B86" s="73" t="s">
        <v>72</v>
      </c>
      <c r="C86" s="60"/>
      <c r="D86" s="60"/>
      <c r="E86" s="60"/>
      <c r="F86" s="66">
        <f>F83-F84</f>
        <v>28788.16598662734</v>
      </c>
      <c r="G86" s="48"/>
      <c r="H86" s="48"/>
    </row>
    <row r="87" spans="2:9" x14ac:dyDescent="0.2">
      <c r="B87" s="48"/>
      <c r="C87" s="48"/>
      <c r="D87" s="48"/>
      <c r="E87" s="48"/>
      <c r="F87" s="48"/>
      <c r="G87" s="48"/>
      <c r="H87" s="48"/>
    </row>
    <row r="88" spans="2:9" x14ac:dyDescent="0.2">
      <c r="B88" s="136" t="s">
        <v>73</v>
      </c>
      <c r="C88" s="80"/>
      <c r="D88" s="80"/>
      <c r="E88" s="80"/>
      <c r="F88" s="75">
        <f>H22</f>
        <v>7571622.3636360001</v>
      </c>
      <c r="G88" s="48"/>
      <c r="H88" s="48"/>
    </row>
    <row r="89" spans="2:9" x14ac:dyDescent="0.2">
      <c r="B89" s="165" t="s">
        <v>74</v>
      </c>
      <c r="C89" s="51"/>
      <c r="D89" s="51"/>
      <c r="E89" s="92"/>
      <c r="F89" s="75">
        <f>F62</f>
        <v>17614</v>
      </c>
      <c r="G89" s="48"/>
      <c r="H89" s="48"/>
    </row>
    <row r="90" spans="2:9" x14ac:dyDescent="0.2">
      <c r="B90" s="138" t="s">
        <v>75</v>
      </c>
      <c r="C90" s="60"/>
      <c r="D90" s="60"/>
      <c r="E90" s="60"/>
      <c r="F90" s="75">
        <f>F88+F89</f>
        <v>7589236.3636360001</v>
      </c>
      <c r="G90" s="48"/>
      <c r="H90" s="48"/>
    </row>
    <row r="91" spans="2:9" x14ac:dyDescent="0.2">
      <c r="B91" s="52"/>
      <c r="C91" s="53"/>
      <c r="D91" s="53"/>
      <c r="E91" s="53"/>
      <c r="F91" s="166"/>
      <c r="G91" s="48"/>
      <c r="H91" s="48"/>
    </row>
    <row r="92" spans="2:9" x14ac:dyDescent="0.2">
      <c r="B92" s="137" t="s">
        <v>76</v>
      </c>
      <c r="C92" s="53"/>
      <c r="D92" s="53"/>
      <c r="E92" s="53"/>
      <c r="F92" s="58">
        <v>6726.95</v>
      </c>
      <c r="G92" s="48"/>
      <c r="H92" s="48"/>
    </row>
    <row r="93" spans="2:9" x14ac:dyDescent="0.2">
      <c r="B93" s="52"/>
      <c r="C93" s="53"/>
      <c r="D93" s="53"/>
      <c r="E93" s="53"/>
      <c r="F93" s="58"/>
      <c r="G93" s="48"/>
      <c r="H93" s="48"/>
    </row>
    <row r="94" spans="2:9" x14ac:dyDescent="0.2">
      <c r="B94" s="137" t="s">
        <v>77</v>
      </c>
      <c r="C94" s="53"/>
      <c r="D94" s="53"/>
      <c r="E94" s="53"/>
      <c r="F94" s="58">
        <f>F90/F92</f>
        <v>1128.1838520631193</v>
      </c>
      <c r="G94" s="48"/>
      <c r="H94" s="48" t="s">
        <v>281</v>
      </c>
      <c r="I94" t="s">
        <v>281</v>
      </c>
    </row>
    <row r="95" spans="2:9" x14ac:dyDescent="0.2">
      <c r="B95" s="52"/>
      <c r="C95" s="53"/>
      <c r="D95" s="53"/>
      <c r="E95" s="53"/>
      <c r="F95" s="58"/>
      <c r="G95" s="48"/>
      <c r="H95" s="48" t="s">
        <v>281</v>
      </c>
    </row>
    <row r="96" spans="2:9" x14ac:dyDescent="0.2">
      <c r="B96" s="137" t="s">
        <v>78</v>
      </c>
      <c r="C96" s="53"/>
      <c r="D96" s="53"/>
      <c r="E96" s="53"/>
      <c r="F96" s="58">
        <f>H31</f>
        <v>9718682.5</v>
      </c>
      <c r="G96" s="48"/>
      <c r="H96" s="48" t="s">
        <v>281</v>
      </c>
    </row>
    <row r="97" spans="2:8" x14ac:dyDescent="0.2">
      <c r="B97" s="52"/>
      <c r="C97" s="53"/>
      <c r="D97" s="53"/>
      <c r="E97" s="53"/>
      <c r="F97" s="58"/>
      <c r="G97" s="48"/>
      <c r="H97" s="48"/>
    </row>
    <row r="98" spans="2:8" x14ac:dyDescent="0.2">
      <c r="B98" s="137" t="s">
        <v>79</v>
      </c>
      <c r="C98" s="53"/>
      <c r="D98" s="53"/>
      <c r="E98" s="53"/>
      <c r="F98" s="58">
        <f>F96/F92</f>
        <v>1444.7383286630643</v>
      </c>
      <c r="G98" s="48"/>
      <c r="H98" s="48"/>
    </row>
    <row r="99" spans="2:8" x14ac:dyDescent="0.2">
      <c r="B99" s="52"/>
      <c r="C99" s="53"/>
      <c r="D99" s="53"/>
      <c r="E99" s="53"/>
      <c r="F99" s="58"/>
      <c r="G99" s="48"/>
      <c r="H99" s="48"/>
    </row>
    <row r="100" spans="2:8" x14ac:dyDescent="0.2">
      <c r="B100" s="138" t="s">
        <v>80</v>
      </c>
      <c r="C100" s="60"/>
      <c r="D100" s="60"/>
      <c r="E100" s="60"/>
      <c r="F100" s="61">
        <f>F98/F94</f>
        <v>1.2805876684204078</v>
      </c>
      <c r="G100" s="48"/>
      <c r="H100" s="48"/>
    </row>
    <row r="101" spans="2:8" x14ac:dyDescent="0.2">
      <c r="F101" s="2"/>
    </row>
  </sheetData>
  <mergeCells count="16">
    <mergeCell ref="B82:C82"/>
    <mergeCell ref="B55:D56"/>
    <mergeCell ref="B69:D70"/>
    <mergeCell ref="B42:C42"/>
    <mergeCell ref="B43:C43"/>
    <mergeCell ref="B44:C44"/>
    <mergeCell ref="B47:C47"/>
    <mergeCell ref="G55:G56"/>
    <mergeCell ref="B4:H4"/>
    <mergeCell ref="B5:H5"/>
    <mergeCell ref="B39:C39"/>
    <mergeCell ref="F1:H1"/>
    <mergeCell ref="B26:C26"/>
    <mergeCell ref="B48:C48"/>
    <mergeCell ref="B49:C49"/>
    <mergeCell ref="B50:C50"/>
  </mergeCells>
  <phoneticPr fontId="0" type="noConversion"/>
  <printOptions horizontalCentered="1"/>
  <pageMargins left="0.75" right="0.75" top="0.59055118110236227" bottom="0.59055118110236227" header="0" footer="0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8"/>
  <sheetViews>
    <sheetView topLeftCell="A169" workbookViewId="0">
      <selection activeCell="H177" sqref="H177"/>
    </sheetView>
  </sheetViews>
  <sheetFormatPr baseColWidth="10" defaultRowHeight="12.75" x14ac:dyDescent="0.2"/>
  <cols>
    <col min="1" max="1" width="6.7109375" customWidth="1"/>
    <col min="2" max="2" width="4.7109375" customWidth="1"/>
    <col min="3" max="3" width="4.5703125" customWidth="1"/>
    <col min="4" max="4" width="5" customWidth="1"/>
    <col min="5" max="5" width="38.85546875" customWidth="1"/>
    <col min="6" max="6" width="8.5703125" style="5" customWidth="1"/>
    <col min="7" max="7" width="12.42578125" customWidth="1"/>
    <col min="8" max="9" width="12.42578125" style="2" customWidth="1"/>
    <col min="10" max="10" width="12.85546875" style="2" customWidth="1"/>
    <col min="11" max="11" width="2.5703125" customWidth="1"/>
    <col min="12" max="12" width="8.7109375" customWidth="1"/>
    <col min="13" max="14" width="11.7109375" bestFit="1" customWidth="1"/>
  </cols>
  <sheetData>
    <row r="1" spans="2:12" x14ac:dyDescent="0.2">
      <c r="B1" s="1" t="s">
        <v>2</v>
      </c>
      <c r="C1" s="1"/>
      <c r="D1" s="1"/>
      <c r="E1" s="1"/>
      <c r="F1" s="4"/>
      <c r="G1" s="1"/>
      <c r="H1" s="3"/>
      <c r="I1" s="237" t="s">
        <v>16</v>
      </c>
      <c r="J1" s="237"/>
    </row>
    <row r="7" spans="2:12" ht="15" x14ac:dyDescent="0.25">
      <c r="B7" s="33">
        <v>1</v>
      </c>
      <c r="D7" s="33" t="s">
        <v>8</v>
      </c>
      <c r="J7" s="106" t="s">
        <v>281</v>
      </c>
    </row>
    <row r="9" spans="2:12" x14ac:dyDescent="0.2">
      <c r="D9" t="s">
        <v>81</v>
      </c>
      <c r="H9" s="103">
        <v>3600</v>
      </c>
    </row>
    <row r="10" spans="2:12" x14ac:dyDescent="0.2">
      <c r="D10" t="s">
        <v>82</v>
      </c>
      <c r="G10" s="47" t="s">
        <v>282</v>
      </c>
      <c r="H10" s="2" t="s">
        <v>283</v>
      </c>
    </row>
    <row r="12" spans="2:12" ht="18" customHeight="1" x14ac:dyDescent="0.2">
      <c r="B12" s="209" t="s">
        <v>301</v>
      </c>
      <c r="C12" s="209"/>
      <c r="D12" s="209"/>
      <c r="E12" s="104" t="s">
        <v>83</v>
      </c>
      <c r="F12" s="96" t="s">
        <v>84</v>
      </c>
      <c r="G12" s="96" t="s">
        <v>85</v>
      </c>
      <c r="H12" s="105" t="s">
        <v>86</v>
      </c>
      <c r="I12" s="105" t="s">
        <v>23</v>
      </c>
      <c r="J12" s="105" t="s">
        <v>284</v>
      </c>
    </row>
    <row r="14" spans="2:12" ht="15" customHeight="1" x14ac:dyDescent="0.2">
      <c r="B14" s="19">
        <v>1</v>
      </c>
      <c r="C14" s="29"/>
      <c r="D14" s="29"/>
      <c r="E14" s="34" t="s">
        <v>285</v>
      </c>
      <c r="F14" s="23"/>
      <c r="G14" s="29"/>
      <c r="H14" s="18"/>
      <c r="I14" s="18"/>
      <c r="J14" s="193">
        <v>1468543.22</v>
      </c>
      <c r="L14" t="s">
        <v>375</v>
      </c>
    </row>
    <row r="15" spans="2:12" ht="15" customHeight="1" x14ac:dyDescent="0.2">
      <c r="B15" s="19"/>
      <c r="C15" s="29"/>
      <c r="D15" s="29"/>
      <c r="E15" s="34"/>
      <c r="F15" s="23"/>
      <c r="G15" s="29"/>
      <c r="H15" s="18"/>
      <c r="I15" s="18"/>
      <c r="J15" s="18"/>
    </row>
    <row r="16" spans="2:12" ht="15" customHeight="1" x14ac:dyDescent="0.2">
      <c r="B16" s="29"/>
      <c r="C16" s="34">
        <v>1.1000000000000001</v>
      </c>
      <c r="D16" s="29"/>
      <c r="E16" s="34" t="s">
        <v>287</v>
      </c>
      <c r="F16" s="23"/>
      <c r="G16" s="29"/>
      <c r="H16" s="18"/>
      <c r="I16" s="18"/>
      <c r="J16" s="19">
        <f>SUM(I18+I24)</f>
        <v>1448444.4401</v>
      </c>
    </row>
    <row r="17" spans="2:14" ht="15" customHeight="1" x14ac:dyDescent="0.2">
      <c r="B17" s="29"/>
      <c r="C17" s="29"/>
      <c r="D17" s="29"/>
      <c r="E17" s="29"/>
      <c r="F17" s="23"/>
      <c r="G17" s="29"/>
      <c r="H17" s="18"/>
      <c r="I17" s="18"/>
      <c r="J17" s="18"/>
    </row>
    <row r="18" spans="2:14" ht="15" customHeight="1" x14ac:dyDescent="0.2">
      <c r="B18" s="29"/>
      <c r="C18" s="29"/>
      <c r="D18" s="34" t="s">
        <v>88</v>
      </c>
      <c r="E18" s="34" t="s">
        <v>89</v>
      </c>
      <c r="F18" s="23"/>
      <c r="G18" s="29"/>
      <c r="H18" s="18"/>
      <c r="I18" s="19">
        <f>SUM(I19:I22)</f>
        <v>1442644.4401</v>
      </c>
      <c r="J18" s="18"/>
      <c r="M18" s="2">
        <f>+J16+J29</f>
        <v>1471898.2201</v>
      </c>
    </row>
    <row r="19" spans="2:14" ht="15" customHeight="1" x14ac:dyDescent="0.2">
      <c r="B19" s="29"/>
      <c r="C19" s="29"/>
      <c r="D19" s="34"/>
      <c r="E19" s="28" t="s">
        <v>90</v>
      </c>
      <c r="F19" s="23" t="s">
        <v>102</v>
      </c>
      <c r="G19" s="18">
        <v>800</v>
      </c>
      <c r="H19" s="18">
        <v>1750</v>
      </c>
      <c r="I19" s="18">
        <f>H19*G19</f>
        <v>1400000</v>
      </c>
      <c r="J19" s="18"/>
      <c r="M19" s="2">
        <f>SUM(I19:I22,I25:I27,I29:I31)</f>
        <v>1471898.2201</v>
      </c>
      <c r="N19" s="2"/>
    </row>
    <row r="20" spans="2:14" ht="15" customHeight="1" x14ac:dyDescent="0.2">
      <c r="B20" s="29"/>
      <c r="C20" s="29"/>
      <c r="D20" s="34"/>
      <c r="E20" s="28" t="s">
        <v>91</v>
      </c>
      <c r="F20" s="23" t="s">
        <v>103</v>
      </c>
      <c r="G20" s="18">
        <v>1</v>
      </c>
      <c r="H20" s="18">
        <v>600</v>
      </c>
      <c r="I20" s="18">
        <f>H20*G20</f>
        <v>600</v>
      </c>
      <c r="J20" s="18"/>
    </row>
    <row r="21" spans="2:14" ht="15" customHeight="1" x14ac:dyDescent="0.2">
      <c r="B21" s="29"/>
      <c r="C21" s="29"/>
      <c r="D21" s="34"/>
      <c r="E21" s="28" t="s">
        <v>92</v>
      </c>
      <c r="F21" s="23" t="s">
        <v>104</v>
      </c>
      <c r="G21" s="18">
        <v>1</v>
      </c>
      <c r="H21" s="18">
        <v>444.44</v>
      </c>
      <c r="I21" s="18">
        <f>H21*G21</f>
        <v>444.44</v>
      </c>
      <c r="J21" s="18"/>
    </row>
    <row r="22" spans="2:14" ht="15" customHeight="1" x14ac:dyDescent="0.2">
      <c r="B22" s="29"/>
      <c r="C22" s="29"/>
      <c r="D22" s="34"/>
      <c r="E22" s="192" t="s">
        <v>93</v>
      </c>
      <c r="F22" s="23" t="s">
        <v>105</v>
      </c>
      <c r="G22" s="35">
        <v>0.03</v>
      </c>
      <c r="H22" s="18">
        <v>1386666.67</v>
      </c>
      <c r="I22" s="18">
        <f>H22*G22</f>
        <v>41600.000099999997</v>
      </c>
      <c r="J22" s="18"/>
    </row>
    <row r="23" spans="2:14" ht="15" customHeight="1" x14ac:dyDescent="0.2">
      <c r="B23" s="29"/>
      <c r="C23" s="29"/>
      <c r="D23" s="34"/>
      <c r="E23" s="28" t="s">
        <v>94</v>
      </c>
      <c r="F23" s="23"/>
      <c r="G23" s="29"/>
      <c r="H23" s="18"/>
      <c r="I23" s="18"/>
      <c r="J23" s="18"/>
      <c r="M23" s="2">
        <f>+J16-J29</f>
        <v>1424990.6601</v>
      </c>
    </row>
    <row r="24" spans="2:14" ht="15" customHeight="1" x14ac:dyDescent="0.2">
      <c r="B24" s="29"/>
      <c r="C24" s="29"/>
      <c r="D24" s="34" t="s">
        <v>95</v>
      </c>
      <c r="E24" s="34" t="s">
        <v>288</v>
      </c>
      <c r="F24" s="23"/>
      <c r="G24" s="29"/>
      <c r="H24" s="18"/>
      <c r="I24" s="19">
        <f>SUM(I25:I27)</f>
        <v>5800</v>
      </c>
      <c r="J24" s="18"/>
    </row>
    <row r="25" spans="2:14" ht="15" customHeight="1" x14ac:dyDescent="0.2">
      <c r="B25" s="29"/>
      <c r="C25" s="29"/>
      <c r="D25" s="29"/>
      <c r="E25" s="28" t="s">
        <v>96</v>
      </c>
      <c r="F25" s="23" t="s">
        <v>105</v>
      </c>
      <c r="G25" s="30">
        <v>3.0000000000000001E-3</v>
      </c>
      <c r="H25" s="18">
        <v>1400000</v>
      </c>
      <c r="I25" s="18">
        <f>H25*G25</f>
        <v>4200</v>
      </c>
      <c r="J25" s="18"/>
    </row>
    <row r="26" spans="2:14" ht="15" customHeight="1" x14ac:dyDescent="0.2">
      <c r="B26" s="29"/>
      <c r="C26" s="29"/>
      <c r="D26" s="29"/>
      <c r="E26" s="28" t="s">
        <v>97</v>
      </c>
      <c r="F26" s="23" t="s">
        <v>103</v>
      </c>
      <c r="G26" s="18">
        <v>1</v>
      </c>
      <c r="H26" s="18">
        <v>1500</v>
      </c>
      <c r="I26" s="18">
        <f>H26*G26</f>
        <v>1500</v>
      </c>
      <c r="J26" s="18"/>
      <c r="M26" s="2"/>
    </row>
    <row r="27" spans="2:14" ht="15" customHeight="1" x14ac:dyDescent="0.2">
      <c r="B27" s="29"/>
      <c r="C27" s="29"/>
      <c r="D27" s="29"/>
      <c r="E27" s="28" t="s">
        <v>98</v>
      </c>
      <c r="F27" s="23" t="s">
        <v>103</v>
      </c>
      <c r="G27" s="18">
        <v>1</v>
      </c>
      <c r="H27" s="18">
        <v>100</v>
      </c>
      <c r="I27" s="18">
        <f>H27*G27</f>
        <v>100</v>
      </c>
      <c r="J27" s="18"/>
    </row>
    <row r="28" spans="2:14" ht="15" customHeight="1" x14ac:dyDescent="0.2">
      <c r="B28" s="29"/>
      <c r="C28" s="29"/>
      <c r="D28" s="29"/>
      <c r="E28" s="29"/>
      <c r="F28" s="23"/>
      <c r="G28" s="29"/>
      <c r="H28" s="18"/>
      <c r="I28" s="18"/>
      <c r="J28" s="18"/>
      <c r="N28" s="2"/>
    </row>
    <row r="29" spans="2:14" ht="15" customHeight="1" x14ac:dyDescent="0.2">
      <c r="B29" s="29"/>
      <c r="C29" s="34" t="s">
        <v>286</v>
      </c>
      <c r="D29" s="29"/>
      <c r="E29" s="34" t="s">
        <v>99</v>
      </c>
      <c r="F29" s="23"/>
      <c r="G29" s="29"/>
      <c r="H29" s="18"/>
      <c r="I29" s="19">
        <v>20098.78</v>
      </c>
      <c r="J29" s="19">
        <f>SUM(I29:I31)</f>
        <v>23453.78</v>
      </c>
    </row>
    <row r="30" spans="2:14" ht="15" customHeight="1" x14ac:dyDescent="0.2">
      <c r="B30" s="29"/>
      <c r="C30" s="29"/>
      <c r="D30" s="29"/>
      <c r="E30" s="29"/>
      <c r="F30" s="23"/>
      <c r="G30" s="29"/>
      <c r="H30" s="18"/>
      <c r="I30" s="18"/>
      <c r="J30" s="18"/>
    </row>
    <row r="31" spans="2:14" ht="15" customHeight="1" x14ac:dyDescent="0.2">
      <c r="B31" s="29"/>
      <c r="C31" s="29"/>
      <c r="D31" s="34" t="s">
        <v>100</v>
      </c>
      <c r="E31" s="34" t="s">
        <v>101</v>
      </c>
      <c r="F31" s="23"/>
      <c r="G31" s="29"/>
      <c r="H31" s="18"/>
      <c r="I31" s="19">
        <v>3355</v>
      </c>
      <c r="J31" s="19" t="s">
        <v>281</v>
      </c>
    </row>
    <row r="34" spans="2:12" ht="15" x14ac:dyDescent="0.25">
      <c r="B34" s="33">
        <v>2</v>
      </c>
      <c r="D34" s="33" t="s">
        <v>9</v>
      </c>
    </row>
    <row r="36" spans="2:12" x14ac:dyDescent="0.2">
      <c r="D36" s="34" t="s">
        <v>354</v>
      </c>
      <c r="E36" s="29"/>
      <c r="F36" s="23"/>
      <c r="G36" s="29"/>
      <c r="H36" s="19">
        <v>3422947.92</v>
      </c>
    </row>
    <row r="37" spans="2:12" x14ac:dyDescent="0.2">
      <c r="D37" s="29" t="s">
        <v>106</v>
      </c>
      <c r="E37" s="29"/>
      <c r="F37" s="23" t="s">
        <v>102</v>
      </c>
      <c r="G37" s="18">
        <v>11642.68</v>
      </c>
      <c r="H37" s="18"/>
    </row>
    <row r="38" spans="2:12" x14ac:dyDescent="0.2">
      <c r="D38" s="29" t="s">
        <v>107</v>
      </c>
      <c r="E38" s="29"/>
      <c r="F38" s="23" t="s">
        <v>108</v>
      </c>
      <c r="G38" s="18">
        <v>294</v>
      </c>
      <c r="H38" s="18"/>
      <c r="I38" s="36" t="s">
        <v>291</v>
      </c>
      <c r="J38" s="36" t="s">
        <v>292</v>
      </c>
    </row>
    <row r="40" spans="2:12" ht="18" customHeight="1" x14ac:dyDescent="0.2">
      <c r="B40" s="209" t="s">
        <v>301</v>
      </c>
      <c r="C40" s="209"/>
      <c r="D40" s="209"/>
      <c r="E40" s="96" t="s">
        <v>83</v>
      </c>
      <c r="F40" s="96" t="s">
        <v>84</v>
      </c>
      <c r="G40" s="96" t="s">
        <v>85</v>
      </c>
      <c r="H40" s="105" t="s">
        <v>86</v>
      </c>
      <c r="I40" s="105" t="s">
        <v>23</v>
      </c>
      <c r="J40" s="105" t="s">
        <v>284</v>
      </c>
    </row>
    <row r="42" spans="2:12" ht="15" customHeight="1" x14ac:dyDescent="0.2">
      <c r="B42" s="19">
        <v>2</v>
      </c>
      <c r="C42" s="29"/>
      <c r="D42" s="29"/>
      <c r="E42" s="34" t="s">
        <v>298</v>
      </c>
      <c r="F42" s="23"/>
      <c r="G42" s="29"/>
      <c r="H42" s="18"/>
      <c r="I42" s="18"/>
      <c r="J42" s="19">
        <f>SUM(J44:J62)</f>
        <v>247984.96667200001</v>
      </c>
    </row>
    <row r="43" spans="2:12" ht="15" customHeight="1" x14ac:dyDescent="0.2">
      <c r="B43" s="19"/>
      <c r="C43" s="29"/>
      <c r="D43" s="29"/>
      <c r="E43" s="34"/>
      <c r="F43" s="23"/>
      <c r="G43" s="29"/>
      <c r="H43" s="18"/>
      <c r="I43" s="18"/>
      <c r="J43" s="18"/>
    </row>
    <row r="44" spans="2:12" ht="15" customHeight="1" x14ac:dyDescent="0.2">
      <c r="B44" s="29"/>
      <c r="C44" s="34">
        <v>2.1</v>
      </c>
      <c r="D44" s="29"/>
      <c r="E44" s="34" t="s">
        <v>109</v>
      </c>
      <c r="F44" s="23"/>
      <c r="G44" s="29"/>
      <c r="H44" s="18"/>
      <c r="I44" s="18"/>
      <c r="J44" s="19">
        <f>SUM(I46+I49)</f>
        <v>54421.968335999998</v>
      </c>
    </row>
    <row r="45" spans="2:12" ht="15" customHeight="1" x14ac:dyDescent="0.2">
      <c r="B45" s="29"/>
      <c r="C45" s="29"/>
      <c r="D45" s="29"/>
      <c r="E45" s="29"/>
      <c r="F45" s="23"/>
      <c r="G45" s="29"/>
      <c r="H45" s="18"/>
      <c r="I45" s="18"/>
      <c r="J45" s="18"/>
    </row>
    <row r="46" spans="2:12" ht="15" customHeight="1" x14ac:dyDescent="0.2">
      <c r="B46" s="29"/>
      <c r="C46" s="29"/>
      <c r="D46" s="34" t="s">
        <v>110</v>
      </c>
      <c r="E46" s="38" t="s">
        <v>111</v>
      </c>
      <c r="F46" s="23"/>
      <c r="G46" s="29"/>
      <c r="H46" s="18"/>
      <c r="I46" s="19">
        <f>SUM(I47:I48)</f>
        <v>49071</v>
      </c>
      <c r="J46" s="18"/>
      <c r="L46" t="s">
        <v>281</v>
      </c>
    </row>
    <row r="47" spans="2:12" ht="15" customHeight="1" x14ac:dyDescent="0.2">
      <c r="B47" s="29"/>
      <c r="C47" s="29"/>
      <c r="D47" s="34"/>
      <c r="E47" s="28" t="s">
        <v>112</v>
      </c>
      <c r="F47" s="23" t="s">
        <v>102</v>
      </c>
      <c r="G47" s="18">
        <v>11642.68</v>
      </c>
      <c r="H47" s="18">
        <v>3</v>
      </c>
      <c r="I47" s="18">
        <v>45578.2</v>
      </c>
      <c r="J47" s="18"/>
    </row>
    <row r="48" spans="2:12" ht="15" customHeight="1" x14ac:dyDescent="0.2">
      <c r="B48" s="29"/>
      <c r="C48" s="29"/>
      <c r="D48" s="34"/>
      <c r="E48" s="28" t="s">
        <v>113</v>
      </c>
      <c r="F48" s="23" t="s">
        <v>102</v>
      </c>
      <c r="G48" s="18">
        <v>11642.68</v>
      </c>
      <c r="H48" s="18">
        <v>0.3</v>
      </c>
      <c r="I48" s="18">
        <v>3492.8</v>
      </c>
      <c r="J48" s="18"/>
    </row>
    <row r="49" spans="2:14" ht="15" customHeight="1" x14ac:dyDescent="0.2">
      <c r="B49" s="29"/>
      <c r="C49" s="29"/>
      <c r="D49" s="34" t="s">
        <v>114</v>
      </c>
      <c r="E49" s="38" t="s">
        <v>115</v>
      </c>
      <c r="F49" s="23"/>
      <c r="G49" s="29"/>
      <c r="H49" s="18"/>
      <c r="I49" s="19">
        <f>SUM(I50:I53)</f>
        <v>5350.9683359999999</v>
      </c>
      <c r="J49" s="18"/>
      <c r="M49" t="s">
        <v>281</v>
      </c>
    </row>
    <row r="50" spans="2:14" ht="15" customHeight="1" x14ac:dyDescent="0.2">
      <c r="B50" s="29"/>
      <c r="C50" s="29"/>
      <c r="D50" s="29"/>
      <c r="E50" s="28" t="s">
        <v>116</v>
      </c>
      <c r="F50" s="23"/>
      <c r="G50" s="30"/>
      <c r="H50" s="18"/>
      <c r="I50" s="18">
        <v>2400</v>
      </c>
      <c r="J50" s="18"/>
      <c r="L50" s="182" t="s">
        <v>359</v>
      </c>
      <c r="M50" s="182"/>
    </row>
    <row r="51" spans="2:14" ht="15" customHeight="1" x14ac:dyDescent="0.2">
      <c r="B51" s="29"/>
      <c r="C51" s="29"/>
      <c r="D51" s="29"/>
      <c r="E51" s="28" t="s">
        <v>117</v>
      </c>
      <c r="F51" s="23" t="s">
        <v>139</v>
      </c>
      <c r="G51" s="30">
        <v>5.9999999999999995E-4</v>
      </c>
      <c r="H51" s="18">
        <v>3422947.92</v>
      </c>
      <c r="I51" s="18">
        <f>G51*H51</f>
        <v>2053.7687519999999</v>
      </c>
      <c r="J51" s="18"/>
      <c r="L51" s="191">
        <f>5035.08/2.7</f>
        <v>1864.8444444444442</v>
      </c>
      <c r="M51" s="182" t="s">
        <v>358</v>
      </c>
    </row>
    <row r="52" spans="2:14" ht="15" customHeight="1" x14ac:dyDescent="0.2">
      <c r="B52" s="29"/>
      <c r="C52" s="29"/>
      <c r="D52" s="29"/>
      <c r="E52" s="28" t="s">
        <v>295</v>
      </c>
      <c r="F52" s="23" t="s">
        <v>139</v>
      </c>
      <c r="G52" s="30">
        <v>2.0000000000000001E-4</v>
      </c>
      <c r="H52" s="18">
        <v>3422947.92</v>
      </c>
      <c r="I52" s="18">
        <f>G52*H52</f>
        <v>684.58958400000006</v>
      </c>
      <c r="J52" s="18"/>
      <c r="K52" t="s">
        <v>281</v>
      </c>
      <c r="L52" s="191">
        <f>2014.03/2.7</f>
        <v>745.93703703703693</v>
      </c>
      <c r="M52" s="182" t="s">
        <v>358</v>
      </c>
    </row>
    <row r="53" spans="2:14" ht="15" customHeight="1" x14ac:dyDescent="0.2">
      <c r="B53" s="29"/>
      <c r="C53" s="29"/>
      <c r="D53" s="29"/>
      <c r="E53" s="28" t="s">
        <v>118</v>
      </c>
      <c r="F53" s="23"/>
      <c r="G53" s="29"/>
      <c r="H53" s="18"/>
      <c r="I53" s="18">
        <v>212.61</v>
      </c>
      <c r="J53" s="183" t="s">
        <v>357</v>
      </c>
      <c r="L53" s="191">
        <f>212.61/2.7</f>
        <v>78.74444444444444</v>
      </c>
      <c r="M53" s="182" t="s">
        <v>358</v>
      </c>
    </row>
    <row r="54" spans="2:14" ht="15" customHeight="1" x14ac:dyDescent="0.2">
      <c r="B54" s="29"/>
      <c r="C54" s="34"/>
      <c r="D54" s="34"/>
      <c r="E54" s="34"/>
      <c r="F54" s="23"/>
      <c r="G54" s="29"/>
      <c r="H54" s="18"/>
      <c r="I54" s="18"/>
      <c r="J54" s="19"/>
      <c r="L54" s="182"/>
      <c r="M54" s="182"/>
    </row>
    <row r="55" spans="2:14" ht="15" customHeight="1" x14ac:dyDescent="0.2">
      <c r="B55" s="29"/>
      <c r="C55" s="34">
        <v>2.2000000000000002</v>
      </c>
      <c r="D55" s="29"/>
      <c r="E55" s="34" t="s">
        <v>293</v>
      </c>
      <c r="F55" s="23"/>
      <c r="G55" s="29"/>
      <c r="H55" s="18"/>
      <c r="I55" s="19">
        <f>SUM(I56:I57)</f>
        <v>2500</v>
      </c>
      <c r="J55" s="19">
        <f>I55+I58</f>
        <v>8707.3000000000011</v>
      </c>
    </row>
    <row r="56" spans="2:14" ht="15" customHeight="1" x14ac:dyDescent="0.2">
      <c r="B56" s="29"/>
      <c r="C56" s="34"/>
      <c r="D56" s="37" t="s">
        <v>120</v>
      </c>
      <c r="E56" s="28" t="s">
        <v>119</v>
      </c>
      <c r="F56" s="23" t="s">
        <v>103</v>
      </c>
      <c r="G56" s="18">
        <v>1</v>
      </c>
      <c r="H56" s="18"/>
      <c r="I56" s="18">
        <v>2000</v>
      </c>
      <c r="J56" s="19"/>
      <c r="L56" s="184" t="s">
        <v>360</v>
      </c>
    </row>
    <row r="57" spans="2:14" ht="15" customHeight="1" x14ac:dyDescent="0.2">
      <c r="B57" s="29"/>
      <c r="C57" s="29"/>
      <c r="D57" s="37" t="s">
        <v>121</v>
      </c>
      <c r="E57" s="28" t="s">
        <v>294</v>
      </c>
      <c r="F57" s="23" t="s">
        <v>103</v>
      </c>
      <c r="G57" s="18">
        <v>1</v>
      </c>
      <c r="H57" s="18"/>
      <c r="I57" s="18">
        <v>500</v>
      </c>
      <c r="J57" s="18"/>
    </row>
    <row r="58" spans="2:14" ht="15" customHeight="1" x14ac:dyDescent="0.2">
      <c r="B58" s="29"/>
      <c r="C58" s="29"/>
      <c r="D58" s="37"/>
      <c r="E58" s="107" t="s">
        <v>122</v>
      </c>
      <c r="F58" s="23"/>
      <c r="G58" s="18"/>
      <c r="H58" s="18"/>
      <c r="I58" s="19">
        <f>SUM(I59:I60)</f>
        <v>6207.3000000000011</v>
      </c>
      <c r="J58" s="18"/>
      <c r="L58" t="s">
        <v>281</v>
      </c>
      <c r="M58" t="s">
        <v>281</v>
      </c>
    </row>
    <row r="59" spans="2:14" ht="15" customHeight="1" x14ac:dyDescent="0.2">
      <c r="B59" s="29"/>
      <c r="C59" s="29"/>
      <c r="D59" s="37" t="s">
        <v>123</v>
      </c>
      <c r="E59" s="28" t="s">
        <v>124</v>
      </c>
      <c r="F59" s="23" t="s">
        <v>103</v>
      </c>
      <c r="G59" s="18">
        <v>1</v>
      </c>
      <c r="H59" s="18"/>
      <c r="I59" s="18">
        <f>3056*1.1</f>
        <v>3361.6000000000004</v>
      </c>
      <c r="J59" s="183" t="s">
        <v>357</v>
      </c>
      <c r="L59" s="181">
        <v>3056</v>
      </c>
      <c r="M59" t="s">
        <v>281</v>
      </c>
    </row>
    <row r="60" spans="2:14" ht="15" customHeight="1" x14ac:dyDescent="0.2">
      <c r="B60" s="29"/>
      <c r="C60" s="29"/>
      <c r="D60" s="37" t="s">
        <v>126</v>
      </c>
      <c r="E60" s="28" t="s">
        <v>125</v>
      </c>
      <c r="F60" s="23" t="s">
        <v>103</v>
      </c>
      <c r="G60" s="18">
        <v>1</v>
      </c>
      <c r="H60" s="18"/>
      <c r="I60" s="18">
        <f>(5643-3056)*1.1</f>
        <v>2845.7000000000003</v>
      </c>
      <c r="J60" s="183" t="s">
        <v>357</v>
      </c>
      <c r="L60" s="189">
        <v>2997</v>
      </c>
      <c r="M60" s="179" t="s">
        <v>281</v>
      </c>
    </row>
    <row r="61" spans="2:14" ht="15" customHeight="1" x14ac:dyDescent="0.2">
      <c r="B61" s="29"/>
      <c r="C61" s="29"/>
      <c r="D61" s="37"/>
      <c r="E61" s="28"/>
      <c r="F61" s="23"/>
      <c r="G61" s="29"/>
      <c r="H61" s="18"/>
      <c r="I61" s="111" t="s">
        <v>281</v>
      </c>
      <c r="J61" s="18"/>
      <c r="L61" s="179" t="s">
        <v>281</v>
      </c>
    </row>
    <row r="62" spans="2:14" ht="15" customHeight="1" x14ac:dyDescent="0.2">
      <c r="B62" s="29"/>
      <c r="C62" s="34">
        <v>2.2999999999999998</v>
      </c>
      <c r="D62" s="37"/>
      <c r="E62" s="34" t="s">
        <v>127</v>
      </c>
      <c r="F62" s="23"/>
      <c r="G62" s="29"/>
      <c r="H62" s="18"/>
      <c r="I62" s="18"/>
      <c r="J62" s="19">
        <f>SUM(I63+I74)</f>
        <v>184855.698336</v>
      </c>
    </row>
    <row r="63" spans="2:14" ht="15" customHeight="1" x14ac:dyDescent="0.2">
      <c r="B63" s="29"/>
      <c r="C63" s="29"/>
      <c r="D63" s="34" t="s">
        <v>128</v>
      </c>
      <c r="E63" s="38" t="s">
        <v>111</v>
      </c>
      <c r="F63" s="23"/>
      <c r="G63" s="29"/>
      <c r="H63" s="18"/>
      <c r="I63" s="19">
        <f>SUM(I64:I73)</f>
        <v>181767.34</v>
      </c>
      <c r="J63" s="18"/>
      <c r="L63" s="2" t="s">
        <v>281</v>
      </c>
      <c r="M63" t="s">
        <v>281</v>
      </c>
    </row>
    <row r="64" spans="2:14" ht="15" customHeight="1" x14ac:dyDescent="0.2">
      <c r="B64" s="29"/>
      <c r="C64" s="29"/>
      <c r="D64" s="37"/>
      <c r="E64" s="194" t="s">
        <v>129</v>
      </c>
      <c r="F64" s="195" t="s">
        <v>102</v>
      </c>
      <c r="G64" s="196">
        <v>11642.68</v>
      </c>
      <c r="H64" s="196">
        <v>5</v>
      </c>
      <c r="I64" s="196">
        <v>123440.8</v>
      </c>
      <c r="J64" s="196"/>
      <c r="L64" s="197" t="s">
        <v>374</v>
      </c>
      <c r="M64" s="198"/>
      <c r="N64" s="198"/>
    </row>
    <row r="65" spans="2:13" ht="15" customHeight="1" x14ac:dyDescent="0.2">
      <c r="B65" s="29"/>
      <c r="C65" s="29"/>
      <c r="D65" s="37"/>
      <c r="E65" s="28" t="s">
        <v>130</v>
      </c>
      <c r="F65" s="23" t="s">
        <v>102</v>
      </c>
      <c r="G65" s="18">
        <v>11642.68</v>
      </c>
      <c r="H65" s="18">
        <v>0.2</v>
      </c>
      <c r="I65" s="18">
        <v>2328.54</v>
      </c>
      <c r="J65" s="18"/>
    </row>
    <row r="66" spans="2:13" ht="15" customHeight="1" x14ac:dyDescent="0.2">
      <c r="B66" s="29"/>
      <c r="C66" s="29"/>
      <c r="D66" s="37"/>
      <c r="E66" s="28" t="s">
        <v>131</v>
      </c>
      <c r="F66" s="23" t="s">
        <v>102</v>
      </c>
      <c r="G66" s="18">
        <v>11642.68</v>
      </c>
      <c r="H66" s="18">
        <v>2</v>
      </c>
      <c r="I66" s="18">
        <v>20110</v>
      </c>
      <c r="J66" s="18"/>
      <c r="M66">
        <f>+H64*G64</f>
        <v>58213.4</v>
      </c>
    </row>
    <row r="67" spans="2:13" ht="15" customHeight="1" x14ac:dyDescent="0.2">
      <c r="B67" s="29"/>
      <c r="C67" s="29"/>
      <c r="D67" s="37"/>
      <c r="E67" s="28" t="s">
        <v>132</v>
      </c>
      <c r="F67" s="23" t="s">
        <v>102</v>
      </c>
      <c r="G67" s="18">
        <v>11642.68</v>
      </c>
      <c r="H67" s="18">
        <v>1</v>
      </c>
      <c r="I67" s="18">
        <v>8245</v>
      </c>
      <c r="J67" s="18"/>
    </row>
    <row r="68" spans="2:13" ht="15" customHeight="1" x14ac:dyDescent="0.2">
      <c r="B68" s="29"/>
      <c r="C68" s="29"/>
      <c r="D68" s="37"/>
      <c r="E68" s="28" t="s">
        <v>133</v>
      </c>
      <c r="F68" s="23" t="s">
        <v>102</v>
      </c>
      <c r="G68" s="18">
        <v>11642.68</v>
      </c>
      <c r="H68" s="18">
        <v>1</v>
      </c>
      <c r="I68" s="18">
        <v>8245</v>
      </c>
      <c r="J68" s="18"/>
    </row>
    <row r="69" spans="2:13" ht="15" customHeight="1" x14ac:dyDescent="0.2">
      <c r="B69" s="29"/>
      <c r="C69" s="29"/>
      <c r="D69" s="37"/>
      <c r="E69" s="28" t="s">
        <v>356</v>
      </c>
      <c r="F69" s="23" t="s">
        <v>102</v>
      </c>
      <c r="G69" s="18">
        <v>11642.68</v>
      </c>
      <c r="H69" s="18">
        <v>0.5</v>
      </c>
      <c r="I69" s="18">
        <v>4142</v>
      </c>
      <c r="J69" s="18"/>
    </row>
    <row r="70" spans="2:13" ht="15" customHeight="1" x14ac:dyDescent="0.2">
      <c r="B70" s="29"/>
      <c r="C70" s="29"/>
      <c r="D70" s="37"/>
      <c r="E70" s="28" t="s">
        <v>134</v>
      </c>
      <c r="F70" s="23" t="s">
        <v>102</v>
      </c>
      <c r="G70" s="18">
        <v>3315.98</v>
      </c>
      <c r="H70" s="18">
        <v>2</v>
      </c>
      <c r="I70" s="18">
        <v>4585</v>
      </c>
      <c r="J70" s="18"/>
    </row>
    <row r="71" spans="2:13" ht="15" customHeight="1" x14ac:dyDescent="0.2">
      <c r="B71" s="29"/>
      <c r="C71" s="29"/>
      <c r="D71" s="37"/>
      <c r="E71" s="28" t="s">
        <v>135</v>
      </c>
      <c r="F71" s="23" t="s">
        <v>140</v>
      </c>
      <c r="G71" s="18">
        <v>95</v>
      </c>
      <c r="H71" s="18">
        <v>70</v>
      </c>
      <c r="I71" s="18">
        <f>+H71*G71</f>
        <v>6650</v>
      </c>
      <c r="J71" s="18"/>
    </row>
    <row r="72" spans="2:13" ht="15" customHeight="1" x14ac:dyDescent="0.2">
      <c r="B72" s="29"/>
      <c r="C72" s="29"/>
      <c r="D72" s="37"/>
      <c r="E72" s="28" t="s">
        <v>296</v>
      </c>
      <c r="F72" s="23" t="s">
        <v>280</v>
      </c>
      <c r="G72" s="18">
        <v>1</v>
      </c>
      <c r="H72" s="18"/>
      <c r="I72" s="18">
        <v>2815</v>
      </c>
      <c r="J72" s="18"/>
    </row>
    <row r="73" spans="2:13" ht="15" customHeight="1" x14ac:dyDescent="0.2">
      <c r="B73" s="29"/>
      <c r="C73" s="29"/>
      <c r="D73" s="37"/>
      <c r="E73" s="28" t="s">
        <v>297</v>
      </c>
      <c r="F73" s="23" t="s">
        <v>280</v>
      </c>
      <c r="G73" s="18">
        <v>1</v>
      </c>
      <c r="H73" s="18"/>
      <c r="I73" s="18">
        <v>1206</v>
      </c>
      <c r="J73" s="18"/>
    </row>
    <row r="74" spans="2:13" ht="15" customHeight="1" x14ac:dyDescent="0.2">
      <c r="B74" s="29"/>
      <c r="C74" s="29"/>
      <c r="D74" s="34" t="s">
        <v>136</v>
      </c>
      <c r="E74" s="38" t="s">
        <v>115</v>
      </c>
      <c r="F74" s="23"/>
      <c r="G74" s="29"/>
      <c r="H74" s="18"/>
      <c r="I74" s="19">
        <f>SUM(I75:I78)</f>
        <v>3088.3583360000002</v>
      </c>
      <c r="J74" s="18"/>
    </row>
    <row r="75" spans="2:13" ht="15" customHeight="1" x14ac:dyDescent="0.2">
      <c r="B75" s="29"/>
      <c r="C75" s="29"/>
      <c r="D75" s="34"/>
      <c r="E75" s="28" t="s">
        <v>117</v>
      </c>
      <c r="F75" s="23" t="s">
        <v>139</v>
      </c>
      <c r="G75" s="30">
        <v>5.9999999999999995E-4</v>
      </c>
      <c r="H75" s="18">
        <v>3422947.92</v>
      </c>
      <c r="I75" s="18" t="s">
        <v>281</v>
      </c>
      <c r="J75" s="18"/>
      <c r="L75" s="180" t="s">
        <v>358</v>
      </c>
    </row>
    <row r="76" spans="2:13" ht="15" customHeight="1" x14ac:dyDescent="0.2">
      <c r="B76" s="29"/>
      <c r="C76" s="29"/>
      <c r="D76" s="34"/>
      <c r="E76" s="28" t="s">
        <v>295</v>
      </c>
      <c r="F76" s="23" t="s">
        <v>139</v>
      </c>
      <c r="G76" s="30">
        <v>2.0000000000000001E-4</v>
      </c>
      <c r="H76" s="18">
        <v>3422947.92</v>
      </c>
      <c r="I76" s="18" t="s">
        <v>281</v>
      </c>
      <c r="J76" s="18"/>
      <c r="L76" s="180" t="s">
        <v>358</v>
      </c>
    </row>
    <row r="77" spans="2:13" ht="15" customHeight="1" x14ac:dyDescent="0.2">
      <c r="B77" s="29"/>
      <c r="C77" s="29"/>
      <c r="D77" s="34"/>
      <c r="E77" s="28" t="s">
        <v>137</v>
      </c>
      <c r="F77" s="23" t="s">
        <v>139</v>
      </c>
      <c r="G77" s="30">
        <v>8.0000000000000004E-4</v>
      </c>
      <c r="H77" s="18">
        <v>3422947.92</v>
      </c>
      <c r="I77" s="18">
        <f>G77*H77</f>
        <v>2738.3583360000002</v>
      </c>
      <c r="J77" s="18"/>
    </row>
    <row r="78" spans="2:13" ht="15" customHeight="1" x14ac:dyDescent="0.2">
      <c r="B78" s="29"/>
      <c r="C78" s="29"/>
      <c r="D78" s="34"/>
      <c r="E78" s="28" t="s">
        <v>138</v>
      </c>
      <c r="F78" s="23" t="s">
        <v>139</v>
      </c>
      <c r="G78" s="29"/>
      <c r="H78" s="18"/>
      <c r="I78" s="18">
        <v>350</v>
      </c>
      <c r="J78" s="18"/>
    </row>
    <row r="81" spans="2:13" x14ac:dyDescent="0.2">
      <c r="B81" t="s">
        <v>281</v>
      </c>
    </row>
    <row r="82" spans="2:13" ht="15" x14ac:dyDescent="0.25">
      <c r="B82" s="33">
        <v>3</v>
      </c>
      <c r="D82" s="33" t="s">
        <v>10</v>
      </c>
    </row>
    <row r="84" spans="2:13" ht="15" customHeight="1" x14ac:dyDescent="0.2">
      <c r="D84" s="34" t="s">
        <v>141</v>
      </c>
      <c r="E84" s="29"/>
      <c r="F84" s="23"/>
      <c r="G84" s="29"/>
      <c r="H84" s="18">
        <v>3422947.92</v>
      </c>
    </row>
    <row r="85" spans="2:13" ht="15" customHeight="1" x14ac:dyDescent="0.2">
      <c r="D85" s="29" t="s">
        <v>106</v>
      </c>
      <c r="E85" s="29"/>
      <c r="F85" s="23" t="s">
        <v>102</v>
      </c>
      <c r="G85" s="18">
        <v>11642.68</v>
      </c>
      <c r="H85" s="18"/>
    </row>
    <row r="86" spans="2:13" ht="15" customHeight="1" x14ac:dyDescent="0.2">
      <c r="D86" s="29" t="s">
        <v>142</v>
      </c>
      <c r="E86" s="29"/>
      <c r="F86" s="23" t="s">
        <v>108</v>
      </c>
      <c r="G86" s="18">
        <v>294</v>
      </c>
      <c r="H86" s="18"/>
      <c r="I86" s="181" t="s">
        <v>361</v>
      </c>
    </row>
    <row r="87" spans="2:13" ht="15" customHeight="1" x14ac:dyDescent="0.2">
      <c r="D87" s="29" t="s">
        <v>143</v>
      </c>
      <c r="E87" s="29"/>
      <c r="F87" s="23"/>
      <c r="G87" s="18">
        <v>24</v>
      </c>
      <c r="H87" s="18"/>
      <c r="I87" s="36" t="s">
        <v>291</v>
      </c>
      <c r="J87" s="36" t="s">
        <v>292</v>
      </c>
    </row>
    <row r="88" spans="2:13" ht="30" customHeight="1" x14ac:dyDescent="0.2"/>
    <row r="89" spans="2:13" ht="18" customHeight="1" x14ac:dyDescent="0.2">
      <c r="B89" s="209" t="s">
        <v>301</v>
      </c>
      <c r="C89" s="209"/>
      <c r="D89" s="209"/>
      <c r="E89" s="96" t="s">
        <v>83</v>
      </c>
      <c r="F89" s="96" t="s">
        <v>84</v>
      </c>
      <c r="G89" s="96" t="s">
        <v>85</v>
      </c>
      <c r="H89" s="105" t="s">
        <v>86</v>
      </c>
      <c r="I89" s="105" t="s">
        <v>23</v>
      </c>
      <c r="J89" s="105" t="s">
        <v>284</v>
      </c>
    </row>
    <row r="91" spans="2:13" ht="15" customHeight="1" x14ac:dyDescent="0.2">
      <c r="B91" s="193">
        <v>3</v>
      </c>
      <c r="C91" s="199"/>
      <c r="D91" s="199"/>
      <c r="E91" s="200" t="s">
        <v>10</v>
      </c>
      <c r="F91" s="195"/>
      <c r="G91" s="199"/>
      <c r="H91" s="196"/>
      <c r="I91" s="196"/>
      <c r="J91" s="193">
        <f>I93+I104</f>
        <v>66690.12</v>
      </c>
      <c r="L91" s="180" t="s">
        <v>373</v>
      </c>
    </row>
    <row r="92" spans="2:13" ht="15" customHeight="1" x14ac:dyDescent="0.2">
      <c r="B92" s="19"/>
      <c r="C92" s="29"/>
      <c r="D92" s="29"/>
      <c r="E92" s="34"/>
      <c r="F92" s="23"/>
      <c r="G92" s="29"/>
      <c r="H92" s="18"/>
      <c r="I92" s="18"/>
      <c r="J92" s="18"/>
    </row>
    <row r="93" spans="2:13" ht="15" customHeight="1" x14ac:dyDescent="0.2">
      <c r="B93" s="29"/>
      <c r="C93" s="34">
        <v>3.1</v>
      </c>
      <c r="D93" s="29"/>
      <c r="E93" s="34" t="s">
        <v>144</v>
      </c>
      <c r="F93" s="23"/>
      <c r="G93" s="29"/>
      <c r="H93" s="18"/>
      <c r="I93" s="19">
        <f>+I95+I100+I104</f>
        <v>65940.12</v>
      </c>
      <c r="J93" s="19"/>
      <c r="M93" s="2"/>
    </row>
    <row r="94" spans="2:13" ht="15" customHeight="1" x14ac:dyDescent="0.2">
      <c r="B94" s="29"/>
      <c r="C94" s="29"/>
      <c r="D94" s="29"/>
      <c r="E94" s="29"/>
      <c r="F94" s="23"/>
      <c r="G94" s="29"/>
      <c r="H94" s="18"/>
      <c r="I94" s="18"/>
      <c r="J94" s="18"/>
      <c r="M94" s="2">
        <f>+I95+I100+I104</f>
        <v>65940.12</v>
      </c>
    </row>
    <row r="95" spans="2:13" ht="15" customHeight="1" x14ac:dyDescent="0.2">
      <c r="B95" s="29"/>
      <c r="C95" s="29"/>
      <c r="D95" s="34" t="s">
        <v>309</v>
      </c>
      <c r="E95" s="39" t="s">
        <v>146</v>
      </c>
      <c r="F95" s="23"/>
      <c r="G95" s="29"/>
      <c r="H95" s="18"/>
      <c r="I95" s="19">
        <f>SUM(I96:I98)</f>
        <v>58190.119999999995</v>
      </c>
      <c r="J95" s="18"/>
      <c r="M95" s="2"/>
    </row>
    <row r="96" spans="2:13" ht="15" customHeight="1" x14ac:dyDescent="0.2">
      <c r="B96" s="29"/>
      <c r="C96" s="29"/>
      <c r="D96" s="34"/>
      <c r="E96" s="28" t="s">
        <v>147</v>
      </c>
      <c r="F96" s="23" t="s">
        <v>139</v>
      </c>
      <c r="G96" s="30">
        <v>5.0000000000000001E-3</v>
      </c>
      <c r="H96" s="18">
        <v>3422947.92</v>
      </c>
      <c r="I96" s="18">
        <v>17114.740000000002</v>
      </c>
      <c r="J96" s="18"/>
    </row>
    <row r="97" spans="2:13" ht="15" customHeight="1" x14ac:dyDescent="0.2">
      <c r="B97" s="29"/>
      <c r="C97" s="29"/>
      <c r="D97" s="34"/>
      <c r="E97" s="28" t="s">
        <v>148</v>
      </c>
      <c r="F97" s="23" t="s">
        <v>139</v>
      </c>
      <c r="G97" s="30">
        <v>6.0000000000000001E-3</v>
      </c>
      <c r="H97" s="18">
        <v>3422947.92</v>
      </c>
      <c r="I97" s="18">
        <v>20537.689999999999</v>
      </c>
      <c r="J97" s="18"/>
    </row>
    <row r="98" spans="2:13" ht="15" customHeight="1" x14ac:dyDescent="0.2">
      <c r="B98" s="29"/>
      <c r="C98" s="29"/>
      <c r="D98" s="34"/>
      <c r="E98" s="28" t="s">
        <v>149</v>
      </c>
      <c r="F98" s="23" t="s">
        <v>139</v>
      </c>
      <c r="G98" s="30">
        <v>6.0000000000000001E-3</v>
      </c>
      <c r="H98" s="18">
        <v>3422947.92</v>
      </c>
      <c r="I98" s="18">
        <v>20537.689999999999</v>
      </c>
      <c r="J98" s="18"/>
    </row>
    <row r="99" spans="2:13" ht="15" customHeight="1" x14ac:dyDescent="0.2">
      <c r="B99" s="29"/>
      <c r="C99" s="29"/>
      <c r="D99" s="34"/>
      <c r="E99" s="28"/>
      <c r="F99" s="23"/>
      <c r="G99" s="18"/>
      <c r="H99" s="18"/>
      <c r="I99" s="18"/>
      <c r="J99" s="18"/>
      <c r="M99" s="2">
        <f>SUM(I95,I100)</f>
        <v>65190.119999999995</v>
      </c>
    </row>
    <row r="100" spans="2:13" ht="15" customHeight="1" x14ac:dyDescent="0.2">
      <c r="B100" s="29"/>
      <c r="C100" s="29"/>
      <c r="D100" s="34" t="s">
        <v>310</v>
      </c>
      <c r="E100" s="39" t="s">
        <v>151</v>
      </c>
      <c r="F100" s="23"/>
      <c r="G100" s="29"/>
      <c r="H100" s="18"/>
      <c r="I100" s="19">
        <f>SUM(I101:I102)</f>
        <v>7000</v>
      </c>
      <c r="J100" s="18"/>
    </row>
    <row r="101" spans="2:13" ht="15" customHeight="1" x14ac:dyDescent="0.2">
      <c r="B101" s="29"/>
      <c r="C101" s="29"/>
      <c r="D101" s="29"/>
      <c r="E101" s="28" t="s">
        <v>152</v>
      </c>
      <c r="F101" s="23" t="s">
        <v>140</v>
      </c>
      <c r="G101" s="18">
        <v>50</v>
      </c>
      <c r="H101" s="18">
        <v>70</v>
      </c>
      <c r="I101" s="18">
        <v>3500</v>
      </c>
      <c r="J101" s="18"/>
    </row>
    <row r="102" spans="2:13" ht="15" customHeight="1" x14ac:dyDescent="0.2">
      <c r="B102" s="29"/>
      <c r="C102" s="29"/>
      <c r="D102" s="29"/>
      <c r="E102" s="28" t="s">
        <v>152</v>
      </c>
      <c r="F102" s="23" t="s">
        <v>140</v>
      </c>
      <c r="G102" s="18">
        <v>50</v>
      </c>
      <c r="H102" s="18">
        <v>70</v>
      </c>
      <c r="I102" s="18">
        <v>3500</v>
      </c>
      <c r="J102" s="18"/>
    </row>
    <row r="103" spans="2:13" ht="15" customHeight="1" x14ac:dyDescent="0.2">
      <c r="B103" s="29"/>
      <c r="C103" s="29"/>
      <c r="D103" s="29"/>
      <c r="E103" s="28"/>
      <c r="F103" s="23"/>
      <c r="G103" s="30"/>
      <c r="H103" s="18"/>
      <c r="I103" s="18"/>
      <c r="J103" s="18"/>
    </row>
    <row r="104" spans="2:13" ht="15" customHeight="1" x14ac:dyDescent="0.2">
      <c r="B104" s="29"/>
      <c r="C104" s="34">
        <v>3.2</v>
      </c>
      <c r="D104" s="29"/>
      <c r="E104" s="39" t="s">
        <v>299</v>
      </c>
      <c r="F104" s="23"/>
      <c r="G104" s="30"/>
      <c r="H104" s="18"/>
      <c r="I104" s="19">
        <f>SUM(I105:I106)</f>
        <v>750</v>
      </c>
      <c r="J104" s="18"/>
    </row>
    <row r="105" spans="2:13" ht="15" customHeight="1" x14ac:dyDescent="0.2">
      <c r="B105" s="29"/>
      <c r="C105" s="29"/>
      <c r="D105" s="29"/>
      <c r="E105" s="28" t="s">
        <v>300</v>
      </c>
      <c r="F105" s="23"/>
      <c r="G105" s="30"/>
      <c r="H105" s="18"/>
      <c r="I105" s="18">
        <v>300</v>
      </c>
      <c r="J105" s="18"/>
    </row>
    <row r="106" spans="2:13" ht="15" customHeight="1" x14ac:dyDescent="0.2">
      <c r="B106" s="29"/>
      <c r="C106" s="34" t="s">
        <v>281</v>
      </c>
      <c r="D106" s="29"/>
      <c r="E106" s="6" t="s">
        <v>355</v>
      </c>
      <c r="F106" s="23"/>
      <c r="G106" s="30"/>
      <c r="H106" s="18"/>
      <c r="I106" s="18">
        <v>450</v>
      </c>
      <c r="J106" s="18"/>
    </row>
    <row r="107" spans="2:13" x14ac:dyDescent="0.2">
      <c r="E107" t="s">
        <v>281</v>
      </c>
    </row>
    <row r="109" spans="2:13" ht="15" x14ac:dyDescent="0.25">
      <c r="B109" s="33">
        <v>4</v>
      </c>
      <c r="D109" s="33" t="s">
        <v>11</v>
      </c>
    </row>
    <row r="111" spans="2:13" x14ac:dyDescent="0.2">
      <c r="D111" s="1" t="s">
        <v>141</v>
      </c>
    </row>
    <row r="112" spans="2:13" x14ac:dyDescent="0.2">
      <c r="D112" s="31" t="s">
        <v>106</v>
      </c>
      <c r="E112" s="26"/>
      <c r="F112" s="42" t="s">
        <v>102</v>
      </c>
      <c r="G112" s="173">
        <v>11642.68</v>
      </c>
    </row>
    <row r="113" spans="2:10" x14ac:dyDescent="0.2">
      <c r="D113" s="11" t="s">
        <v>153</v>
      </c>
      <c r="E113" s="12"/>
      <c r="F113" s="43" t="s">
        <v>108</v>
      </c>
      <c r="G113" s="13">
        <v>294</v>
      </c>
    </row>
    <row r="114" spans="2:10" x14ac:dyDescent="0.2">
      <c r="G114" s="2"/>
      <c r="J114" s="2">
        <f>+G112*0.026</f>
        <v>302.70967999999999</v>
      </c>
    </row>
    <row r="115" spans="2:10" x14ac:dyDescent="0.2">
      <c r="D115" s="1" t="s">
        <v>154</v>
      </c>
      <c r="G115" s="2"/>
    </row>
    <row r="116" spans="2:10" x14ac:dyDescent="0.2">
      <c r="D116" s="31" t="s">
        <v>155</v>
      </c>
      <c r="E116" s="26"/>
      <c r="F116" s="42" t="s">
        <v>32</v>
      </c>
      <c r="G116" s="174">
        <v>2.5999999999999999E-2</v>
      </c>
    </row>
    <row r="117" spans="2:10" x14ac:dyDescent="0.2">
      <c r="D117" s="11" t="s">
        <v>156</v>
      </c>
      <c r="E117" s="12"/>
      <c r="F117" s="43" t="s">
        <v>108</v>
      </c>
      <c r="G117" s="13">
        <v>66.67</v>
      </c>
    </row>
    <row r="118" spans="2:10" x14ac:dyDescent="0.2">
      <c r="G118" s="24"/>
    </row>
    <row r="119" spans="2:10" x14ac:dyDescent="0.2">
      <c r="D119" s="1" t="s">
        <v>157</v>
      </c>
      <c r="G119" s="3">
        <f>SUM(F120:F123)</f>
        <v>198</v>
      </c>
      <c r="I119" s="36" t="s">
        <v>291</v>
      </c>
      <c r="J119" s="36" t="s">
        <v>292</v>
      </c>
    </row>
    <row r="120" spans="2:10" x14ac:dyDescent="0.2">
      <c r="D120" s="31" t="s">
        <v>25</v>
      </c>
      <c r="E120" s="26"/>
      <c r="F120" s="170">
        <v>95</v>
      </c>
      <c r="G120" s="175"/>
      <c r="I120" s="108"/>
    </row>
    <row r="121" spans="2:10" x14ac:dyDescent="0.2">
      <c r="D121" s="8" t="s">
        <v>26</v>
      </c>
      <c r="E121" s="9"/>
      <c r="F121" s="171">
        <v>71</v>
      </c>
      <c r="G121" s="15"/>
    </row>
    <row r="122" spans="2:10" x14ac:dyDescent="0.2">
      <c r="D122" s="11" t="s">
        <v>27</v>
      </c>
      <c r="E122" s="12"/>
      <c r="F122" s="172">
        <v>32</v>
      </c>
      <c r="G122" s="16"/>
      <c r="H122" s="187">
        <v>29</v>
      </c>
    </row>
    <row r="123" spans="2:10" x14ac:dyDescent="0.2">
      <c r="D123" t="s">
        <v>281</v>
      </c>
      <c r="F123" s="5" t="s">
        <v>281</v>
      </c>
      <c r="G123" s="2"/>
    </row>
    <row r="124" spans="2:10" ht="18" customHeight="1" x14ac:dyDescent="0.2">
      <c r="B124" s="209" t="s">
        <v>301</v>
      </c>
      <c r="C124" s="209"/>
      <c r="D124" s="209"/>
      <c r="E124" s="96" t="s">
        <v>83</v>
      </c>
      <c r="F124" s="96" t="s">
        <v>84</v>
      </c>
      <c r="G124" s="96" t="s">
        <v>85</v>
      </c>
      <c r="H124" s="105" t="s">
        <v>86</v>
      </c>
      <c r="I124" s="105" t="s">
        <v>23</v>
      </c>
      <c r="J124" s="105" t="s">
        <v>284</v>
      </c>
    </row>
    <row r="126" spans="2:10" x14ac:dyDescent="0.2">
      <c r="B126" s="19">
        <v>4</v>
      </c>
      <c r="C126" s="29"/>
      <c r="D126" s="29"/>
      <c r="E126" s="34" t="s">
        <v>11</v>
      </c>
      <c r="F126" s="23"/>
      <c r="G126" s="29"/>
      <c r="H126" s="18"/>
      <c r="I126" s="18"/>
      <c r="J126" s="19">
        <f>SUM(J128:J166)</f>
        <v>68410.216964000007</v>
      </c>
    </row>
    <row r="127" spans="2:10" x14ac:dyDescent="0.2">
      <c r="B127" s="19"/>
      <c r="C127" s="29"/>
      <c r="D127" s="29"/>
      <c r="E127" s="34"/>
      <c r="F127" s="23"/>
      <c r="G127" s="29"/>
      <c r="H127" s="18"/>
      <c r="I127" s="18"/>
      <c r="J127" s="18"/>
    </row>
    <row r="128" spans="2:10" x14ac:dyDescent="0.2">
      <c r="B128" s="29"/>
      <c r="C128" s="34">
        <v>4.0999999999999996</v>
      </c>
      <c r="D128" s="29"/>
      <c r="E128" s="34" t="s">
        <v>158</v>
      </c>
      <c r="F128" s="23"/>
      <c r="G128" s="29"/>
      <c r="H128" s="18"/>
      <c r="I128" s="18"/>
      <c r="J128" s="19">
        <f>I130+I133+I142+I146+I154</f>
        <v>41251.373204000003</v>
      </c>
    </row>
    <row r="129" spans="2:12" x14ac:dyDescent="0.2">
      <c r="B129" s="29"/>
      <c r="C129" s="34"/>
      <c r="D129" s="29"/>
      <c r="E129" s="34"/>
      <c r="F129" s="23"/>
      <c r="G129" s="29"/>
      <c r="H129" s="18"/>
      <c r="I129" s="18"/>
      <c r="J129" s="19"/>
    </row>
    <row r="130" spans="2:12" x14ac:dyDescent="0.2">
      <c r="B130" s="29"/>
      <c r="C130" s="34"/>
      <c r="D130" s="34" t="s">
        <v>145</v>
      </c>
      <c r="E130" s="34" t="s">
        <v>160</v>
      </c>
      <c r="F130" s="23" t="s">
        <v>281</v>
      </c>
      <c r="G130" s="29"/>
      <c r="H130" s="18"/>
      <c r="I130" s="19">
        <f>I131</f>
        <v>20181.6757</v>
      </c>
      <c r="J130" s="19"/>
    </row>
    <row r="131" spans="2:12" x14ac:dyDescent="0.2">
      <c r="B131" s="29"/>
      <c r="C131" s="34"/>
      <c r="D131" s="29"/>
      <c r="E131" s="37" t="s">
        <v>161</v>
      </c>
      <c r="F131" s="23" t="s">
        <v>102</v>
      </c>
      <c r="G131" s="29">
        <v>302.70999999999998</v>
      </c>
      <c r="H131" s="18">
        <v>66.67</v>
      </c>
      <c r="I131" s="18">
        <f>G131*H131</f>
        <v>20181.6757</v>
      </c>
      <c r="J131" s="19"/>
    </row>
    <row r="132" spans="2:12" x14ac:dyDescent="0.2">
      <c r="B132" s="29"/>
      <c r="C132" s="34"/>
      <c r="D132" s="29"/>
      <c r="E132" s="34"/>
      <c r="F132" s="23"/>
      <c r="G132" s="29"/>
      <c r="H132" s="18"/>
      <c r="I132" s="18" t="s">
        <v>281</v>
      </c>
      <c r="J132" s="19"/>
    </row>
    <row r="133" spans="2:12" x14ac:dyDescent="0.2">
      <c r="B133" s="29"/>
      <c r="C133" s="34"/>
      <c r="D133" s="34" t="s">
        <v>150</v>
      </c>
      <c r="E133" s="34" t="s">
        <v>163</v>
      </c>
      <c r="F133" s="23" t="s">
        <v>281</v>
      </c>
      <c r="G133" s="29"/>
      <c r="H133" s="18"/>
      <c r="I133" s="19">
        <f>SUM(I135:I140)</f>
        <v>5457.5375040000008</v>
      </c>
      <c r="J133" s="19"/>
    </row>
    <row r="134" spans="2:12" x14ac:dyDescent="0.2">
      <c r="B134" s="29"/>
      <c r="C134" s="34"/>
      <c r="D134" s="29"/>
      <c r="E134" s="34" t="s">
        <v>164</v>
      </c>
      <c r="F134" s="23"/>
      <c r="G134" s="29"/>
      <c r="H134" s="18"/>
      <c r="I134" s="19" t="s">
        <v>281</v>
      </c>
      <c r="J134" s="19"/>
    </row>
    <row r="135" spans="2:12" x14ac:dyDescent="0.2">
      <c r="B135" s="29"/>
      <c r="C135" s="34"/>
      <c r="D135" s="29"/>
      <c r="E135" s="37" t="s">
        <v>165</v>
      </c>
      <c r="F135" s="23" t="s">
        <v>280</v>
      </c>
      <c r="G135" s="18">
        <v>1</v>
      </c>
      <c r="H135" s="18">
        <v>1000</v>
      </c>
      <c r="I135" s="18">
        <f t="shared" ref="I135:I172" si="0">G135*H135</f>
        <v>1000</v>
      </c>
      <c r="J135" s="19"/>
    </row>
    <row r="136" spans="2:12" x14ac:dyDescent="0.2">
      <c r="B136" s="29"/>
      <c r="C136" s="34"/>
      <c r="D136" s="29"/>
      <c r="E136" s="37" t="s">
        <v>166</v>
      </c>
      <c r="F136" s="23" t="s">
        <v>280</v>
      </c>
      <c r="G136" s="18">
        <v>1</v>
      </c>
      <c r="H136" s="18">
        <v>200</v>
      </c>
      <c r="I136" s="18">
        <f t="shared" si="0"/>
        <v>200</v>
      </c>
      <c r="J136" s="19"/>
    </row>
    <row r="137" spans="2:12" x14ac:dyDescent="0.2">
      <c r="B137" s="29"/>
      <c r="C137" s="34"/>
      <c r="D137" s="29"/>
      <c r="E137" s="34" t="s">
        <v>167</v>
      </c>
      <c r="F137" s="23"/>
      <c r="G137" s="18"/>
      <c r="H137" s="18"/>
      <c r="I137" s="19" t="s">
        <v>281</v>
      </c>
      <c r="J137" s="19"/>
    </row>
    <row r="138" spans="2:12" x14ac:dyDescent="0.2">
      <c r="B138" s="29"/>
      <c r="C138" s="34"/>
      <c r="D138" s="29"/>
      <c r="E138" s="37" t="s">
        <v>117</v>
      </c>
      <c r="F138" s="23" t="s">
        <v>139</v>
      </c>
      <c r="G138" s="109">
        <v>1E-3</v>
      </c>
      <c r="H138" s="18">
        <v>3422947.92</v>
      </c>
      <c r="I138" s="18">
        <f t="shared" si="0"/>
        <v>3422.9479200000001</v>
      </c>
      <c r="J138" s="19"/>
      <c r="L138" t="s">
        <v>281</v>
      </c>
    </row>
    <row r="139" spans="2:12" x14ac:dyDescent="0.2">
      <c r="B139" s="29"/>
      <c r="C139" s="34"/>
      <c r="D139" s="29"/>
      <c r="E139" s="37" t="s">
        <v>295</v>
      </c>
      <c r="F139" s="23" t="s">
        <v>139</v>
      </c>
      <c r="G139" s="110">
        <v>2.0000000000000001E-4</v>
      </c>
      <c r="H139" s="18">
        <v>3422947.92</v>
      </c>
      <c r="I139" s="18">
        <f t="shared" si="0"/>
        <v>684.58958400000006</v>
      </c>
      <c r="J139" s="19"/>
      <c r="L139" s="2" t="s">
        <v>308</v>
      </c>
    </row>
    <row r="140" spans="2:12" x14ac:dyDescent="0.2">
      <c r="B140" s="29"/>
      <c r="C140" s="34"/>
      <c r="D140" s="29"/>
      <c r="E140" s="37" t="s">
        <v>118</v>
      </c>
      <c r="F140" s="23" t="s">
        <v>280</v>
      </c>
      <c r="G140" s="18">
        <v>1</v>
      </c>
      <c r="H140" s="18">
        <v>150</v>
      </c>
      <c r="I140" s="18">
        <f t="shared" si="0"/>
        <v>150</v>
      </c>
      <c r="J140" s="19"/>
      <c r="L140" s="2" t="s">
        <v>281</v>
      </c>
    </row>
    <row r="141" spans="2:12" x14ac:dyDescent="0.2">
      <c r="B141" s="29"/>
      <c r="C141" s="34"/>
      <c r="D141" s="29"/>
      <c r="E141" s="34"/>
      <c r="F141" s="23"/>
      <c r="G141" s="18"/>
      <c r="H141" s="18"/>
      <c r="I141" s="18" t="s">
        <v>281</v>
      </c>
      <c r="J141" s="19"/>
    </row>
    <row r="142" spans="2:12" x14ac:dyDescent="0.2">
      <c r="B142" s="29"/>
      <c r="C142" s="34"/>
      <c r="D142" s="34" t="s">
        <v>311</v>
      </c>
      <c r="E142" s="34" t="s">
        <v>169</v>
      </c>
      <c r="F142" s="23"/>
      <c r="G142" s="18"/>
      <c r="H142" s="18"/>
      <c r="I142" s="19">
        <f>SUM(I143:I144)</f>
        <v>4862.16</v>
      </c>
      <c r="J142" s="19"/>
    </row>
    <row r="143" spans="2:12" x14ac:dyDescent="0.2">
      <c r="B143" s="29"/>
      <c r="C143" s="34"/>
      <c r="D143" s="34"/>
      <c r="E143" s="37" t="s">
        <v>303</v>
      </c>
      <c r="F143" s="23" t="s">
        <v>302</v>
      </c>
      <c r="G143" s="18">
        <v>2</v>
      </c>
      <c r="H143" s="18">
        <v>48.15</v>
      </c>
      <c r="I143" s="18">
        <f t="shared" si="0"/>
        <v>96.3</v>
      </c>
      <c r="J143" s="19"/>
    </row>
    <row r="144" spans="2:12" x14ac:dyDescent="0.2">
      <c r="B144" s="29"/>
      <c r="C144" s="34"/>
      <c r="D144" s="34"/>
      <c r="E144" s="37" t="s">
        <v>304</v>
      </c>
      <c r="F144" s="23" t="s">
        <v>302</v>
      </c>
      <c r="G144" s="18">
        <v>198</v>
      </c>
      <c r="H144" s="18">
        <v>24.07</v>
      </c>
      <c r="I144" s="18">
        <f t="shared" si="0"/>
        <v>4765.8599999999997</v>
      </c>
      <c r="J144" s="19"/>
    </row>
    <row r="145" spans="2:11" x14ac:dyDescent="0.2">
      <c r="B145" s="29"/>
      <c r="C145" s="34"/>
      <c r="D145" s="34"/>
      <c r="E145" s="34"/>
      <c r="F145" s="23"/>
      <c r="G145" s="18"/>
      <c r="H145" s="18"/>
      <c r="I145" s="18" t="s">
        <v>281</v>
      </c>
      <c r="J145" s="19"/>
    </row>
    <row r="146" spans="2:11" x14ac:dyDescent="0.2">
      <c r="B146" s="29"/>
      <c r="C146" s="34"/>
      <c r="D146" s="34" t="s">
        <v>312</v>
      </c>
      <c r="E146" s="34" t="s">
        <v>170</v>
      </c>
      <c r="F146" s="23"/>
      <c r="G146" s="18"/>
      <c r="H146" s="18"/>
      <c r="I146" s="19">
        <v>650</v>
      </c>
      <c r="J146" s="19"/>
    </row>
    <row r="147" spans="2:11" x14ac:dyDescent="0.2">
      <c r="B147" s="29"/>
      <c r="C147" s="34"/>
      <c r="D147" s="34"/>
      <c r="E147" s="34"/>
      <c r="F147" s="23"/>
      <c r="G147" s="18"/>
      <c r="H147" s="18"/>
      <c r="I147" s="18" t="s">
        <v>281</v>
      </c>
      <c r="J147" s="19"/>
    </row>
    <row r="148" spans="2:11" x14ac:dyDescent="0.2">
      <c r="B148" s="29"/>
      <c r="C148" s="34"/>
      <c r="D148" s="34"/>
      <c r="E148" s="34" t="s">
        <v>164</v>
      </c>
      <c r="F148" s="23" t="s">
        <v>281</v>
      </c>
      <c r="G148" s="18"/>
      <c r="H148" s="18"/>
      <c r="I148" s="19" t="s">
        <v>281</v>
      </c>
      <c r="J148" s="19"/>
    </row>
    <row r="149" spans="2:11" x14ac:dyDescent="0.2">
      <c r="B149" s="29"/>
      <c r="C149" s="34"/>
      <c r="D149" s="34"/>
      <c r="E149" s="37" t="s">
        <v>171</v>
      </c>
      <c r="F149" s="23" t="s">
        <v>280</v>
      </c>
      <c r="G149" s="18">
        <v>1</v>
      </c>
      <c r="H149" s="18">
        <v>200</v>
      </c>
      <c r="I149" s="18">
        <f t="shared" si="0"/>
        <v>200</v>
      </c>
      <c r="J149" s="19"/>
    </row>
    <row r="150" spans="2:11" x14ac:dyDescent="0.2">
      <c r="B150" s="29"/>
      <c r="C150" s="34"/>
      <c r="D150" s="34"/>
      <c r="E150" s="37" t="s">
        <v>172</v>
      </c>
      <c r="F150" s="23" t="s">
        <v>280</v>
      </c>
      <c r="G150" s="18">
        <v>1</v>
      </c>
      <c r="H150" s="18">
        <v>300</v>
      </c>
      <c r="I150" s="18">
        <f t="shared" si="0"/>
        <v>300</v>
      </c>
      <c r="J150" s="19"/>
    </row>
    <row r="151" spans="2:11" x14ac:dyDescent="0.2">
      <c r="B151" s="29"/>
      <c r="C151" s="34"/>
      <c r="D151" s="34"/>
      <c r="E151" s="34" t="s">
        <v>173</v>
      </c>
      <c r="F151" s="23"/>
      <c r="G151" s="18"/>
      <c r="H151" s="18"/>
      <c r="I151" s="19" t="s">
        <v>281</v>
      </c>
      <c r="J151" s="19"/>
    </row>
    <row r="152" spans="2:11" x14ac:dyDescent="0.2">
      <c r="B152" s="29"/>
      <c r="C152" s="34"/>
      <c r="D152" s="29"/>
      <c r="E152" s="37" t="s">
        <v>118</v>
      </c>
      <c r="F152" s="23" t="s">
        <v>280</v>
      </c>
      <c r="G152" s="18">
        <v>1</v>
      </c>
      <c r="H152" s="18">
        <v>150</v>
      </c>
      <c r="I152" s="111">
        <v>150</v>
      </c>
      <c r="J152" s="19"/>
    </row>
    <row r="153" spans="2:11" x14ac:dyDescent="0.2">
      <c r="B153" s="29"/>
      <c r="C153" s="34"/>
      <c r="D153" s="29"/>
      <c r="E153" s="34"/>
      <c r="F153" s="23"/>
      <c r="G153" s="18"/>
      <c r="H153" s="18"/>
      <c r="I153" s="18" t="s">
        <v>281</v>
      </c>
      <c r="J153" s="19"/>
    </row>
    <row r="154" spans="2:11" x14ac:dyDescent="0.2">
      <c r="B154" s="29"/>
      <c r="C154" s="34"/>
      <c r="D154" s="34" t="s">
        <v>313</v>
      </c>
      <c r="E154" s="34" t="s">
        <v>174</v>
      </c>
      <c r="F154" s="23"/>
      <c r="G154" s="18"/>
      <c r="H154" s="18"/>
      <c r="I154" s="19">
        <f>SUM(I155:I156)</f>
        <v>10100</v>
      </c>
      <c r="J154" s="19"/>
    </row>
    <row r="155" spans="2:11" ht="25.5" x14ac:dyDescent="0.2">
      <c r="B155" s="29"/>
      <c r="C155" s="34"/>
      <c r="D155" s="29"/>
      <c r="E155" s="40" t="s">
        <v>175</v>
      </c>
      <c r="F155" s="23" t="s">
        <v>302</v>
      </c>
      <c r="G155" s="18">
        <v>198</v>
      </c>
      <c r="H155" s="18">
        <v>50</v>
      </c>
      <c r="I155" s="18">
        <f t="shared" si="0"/>
        <v>9900</v>
      </c>
      <c r="J155" s="19"/>
      <c r="K155" s="48"/>
    </row>
    <row r="156" spans="2:11" x14ac:dyDescent="0.2">
      <c r="B156" s="29"/>
      <c r="C156" s="34"/>
      <c r="D156" s="29"/>
      <c r="E156" s="40" t="s">
        <v>176</v>
      </c>
      <c r="F156" s="23" t="s">
        <v>280</v>
      </c>
      <c r="G156" s="18">
        <v>1</v>
      </c>
      <c r="H156" s="18">
        <v>200</v>
      </c>
      <c r="I156" s="18">
        <f t="shared" si="0"/>
        <v>200</v>
      </c>
      <c r="J156" s="19"/>
      <c r="K156" s="48"/>
    </row>
    <row r="157" spans="2:11" x14ac:dyDescent="0.2">
      <c r="B157" s="29"/>
      <c r="C157" s="34"/>
      <c r="D157" s="29"/>
      <c r="E157" s="40"/>
      <c r="F157" s="23"/>
      <c r="G157" s="18"/>
      <c r="H157" s="18"/>
      <c r="I157" s="18" t="s">
        <v>281</v>
      </c>
      <c r="J157" s="19"/>
      <c r="K157" s="48"/>
    </row>
    <row r="158" spans="2:11" ht="25.5" x14ac:dyDescent="0.2">
      <c r="B158" s="29"/>
      <c r="C158" s="34"/>
      <c r="D158" s="34" t="s">
        <v>314</v>
      </c>
      <c r="E158" s="41" t="s">
        <v>305</v>
      </c>
      <c r="F158" s="23"/>
      <c r="G158" s="18"/>
      <c r="H158" s="18"/>
      <c r="I158" s="19">
        <f>I159</f>
        <v>2000</v>
      </c>
      <c r="J158" s="19"/>
      <c r="K158" s="48"/>
    </row>
    <row r="159" spans="2:11" ht="25.5" x14ac:dyDescent="0.2">
      <c r="B159" s="29"/>
      <c r="C159" s="34"/>
      <c r="D159" s="29"/>
      <c r="E159" s="40" t="s">
        <v>177</v>
      </c>
      <c r="F159" s="23" t="s">
        <v>280</v>
      </c>
      <c r="G159" s="18">
        <v>1</v>
      </c>
      <c r="H159" s="18">
        <v>2000</v>
      </c>
      <c r="I159" s="18">
        <f t="shared" si="0"/>
        <v>2000</v>
      </c>
      <c r="J159" s="19"/>
      <c r="K159" s="48"/>
    </row>
    <row r="160" spans="2:11" x14ac:dyDescent="0.2">
      <c r="B160" s="29"/>
      <c r="C160" s="34"/>
      <c r="D160" s="29"/>
      <c r="E160" s="40"/>
      <c r="F160" s="23"/>
      <c r="G160" s="18" t="s">
        <v>281</v>
      </c>
      <c r="H160" s="18"/>
      <c r="I160" s="18" t="s">
        <v>281</v>
      </c>
      <c r="J160" s="19"/>
      <c r="K160" s="48"/>
    </row>
    <row r="161" spans="2:11" x14ac:dyDescent="0.2">
      <c r="B161" s="29"/>
      <c r="C161" s="34">
        <v>4.2</v>
      </c>
      <c r="D161" s="29"/>
      <c r="E161" s="34" t="s">
        <v>178</v>
      </c>
      <c r="F161" s="23"/>
      <c r="G161" s="18"/>
      <c r="H161" s="18"/>
      <c r="I161" s="19">
        <f>SUM(I163:I164)</f>
        <v>10418.84376</v>
      </c>
      <c r="J161" s="19">
        <f>I161</f>
        <v>10418.84376</v>
      </c>
      <c r="K161" s="48"/>
    </row>
    <row r="162" spans="2:11" x14ac:dyDescent="0.2">
      <c r="B162" s="29"/>
      <c r="C162" s="34"/>
      <c r="D162" s="29"/>
      <c r="E162" s="34"/>
      <c r="F162" s="23"/>
      <c r="G162" s="18"/>
      <c r="H162" s="18"/>
      <c r="I162" s="18" t="s">
        <v>281</v>
      </c>
      <c r="J162" s="19"/>
    </row>
    <row r="163" spans="2:11" x14ac:dyDescent="0.2">
      <c r="B163" s="29"/>
      <c r="C163" s="34"/>
      <c r="D163" s="29" t="s">
        <v>315</v>
      </c>
      <c r="E163" s="37" t="s">
        <v>180</v>
      </c>
      <c r="F163" s="23" t="s">
        <v>139</v>
      </c>
      <c r="G163" s="109">
        <v>3.0000000000000001E-3</v>
      </c>
      <c r="H163" s="18">
        <v>3422947.92</v>
      </c>
      <c r="I163" s="18">
        <f t="shared" si="0"/>
        <v>10268.84376</v>
      </c>
      <c r="J163" s="19"/>
    </row>
    <row r="164" spans="2:11" x14ac:dyDescent="0.2">
      <c r="B164" s="29"/>
      <c r="C164" s="29"/>
      <c r="D164" s="29" t="s">
        <v>316</v>
      </c>
      <c r="E164" s="29" t="s">
        <v>182</v>
      </c>
      <c r="F164" s="23" t="s">
        <v>280</v>
      </c>
      <c r="G164" s="18">
        <v>1</v>
      </c>
      <c r="H164" s="18">
        <v>150</v>
      </c>
      <c r="I164" s="18">
        <f t="shared" si="0"/>
        <v>150</v>
      </c>
      <c r="J164" s="18"/>
    </row>
    <row r="165" spans="2:11" x14ac:dyDescent="0.2">
      <c r="B165" s="29"/>
      <c r="C165" s="29"/>
      <c r="D165" s="29"/>
      <c r="E165" s="29"/>
      <c r="F165" s="23"/>
      <c r="G165" s="18"/>
      <c r="H165" s="18"/>
      <c r="I165" s="18" t="s">
        <v>281</v>
      </c>
      <c r="J165" s="18"/>
    </row>
    <row r="166" spans="2:11" x14ac:dyDescent="0.2">
      <c r="B166" s="29"/>
      <c r="C166" s="34">
        <v>4.3</v>
      </c>
      <c r="D166" s="29"/>
      <c r="E166" s="34" t="s">
        <v>183</v>
      </c>
      <c r="F166" s="23"/>
      <c r="G166" s="18"/>
      <c r="H166" s="18"/>
      <c r="I166" s="19">
        <f>SUM(I168:I172)</f>
        <v>16740</v>
      </c>
      <c r="J166" s="19">
        <f>I166</f>
        <v>16740</v>
      </c>
    </row>
    <row r="167" spans="2:11" x14ac:dyDescent="0.2">
      <c r="B167" s="29"/>
      <c r="C167" s="29"/>
      <c r="D167" s="29"/>
      <c r="E167" s="29"/>
      <c r="F167" s="23"/>
      <c r="G167" s="18"/>
      <c r="H167" s="18"/>
      <c r="I167" s="18" t="s">
        <v>281</v>
      </c>
      <c r="J167" s="18"/>
    </row>
    <row r="168" spans="2:11" x14ac:dyDescent="0.2">
      <c r="B168" s="29"/>
      <c r="C168" s="29"/>
      <c r="D168" s="29" t="s">
        <v>317</v>
      </c>
      <c r="E168" s="29" t="s">
        <v>185</v>
      </c>
      <c r="F168" s="23" t="s">
        <v>307</v>
      </c>
      <c r="G168" s="18">
        <v>2</v>
      </c>
      <c r="H168" s="18">
        <v>1466.67</v>
      </c>
      <c r="I168" s="18">
        <f t="shared" si="0"/>
        <v>2933.34</v>
      </c>
      <c r="J168" s="18"/>
    </row>
    <row r="169" spans="2:11" x14ac:dyDescent="0.2">
      <c r="B169" s="29"/>
      <c r="C169" s="29"/>
      <c r="D169" s="29" t="s">
        <v>318</v>
      </c>
      <c r="E169" s="29" t="s">
        <v>187</v>
      </c>
      <c r="F169" s="23" t="s">
        <v>307</v>
      </c>
      <c r="G169" s="18">
        <v>2</v>
      </c>
      <c r="H169" s="18">
        <v>2933.33</v>
      </c>
      <c r="I169" s="18">
        <f t="shared" si="0"/>
        <v>5866.66</v>
      </c>
      <c r="J169" s="18"/>
    </row>
    <row r="170" spans="2:11" x14ac:dyDescent="0.2">
      <c r="B170" s="29"/>
      <c r="C170" s="29"/>
      <c r="D170" s="29" t="s">
        <v>319</v>
      </c>
      <c r="E170" s="29" t="s">
        <v>188</v>
      </c>
      <c r="F170" s="23" t="s">
        <v>302</v>
      </c>
      <c r="G170" s="18">
        <v>1</v>
      </c>
      <c r="H170" s="18">
        <v>20</v>
      </c>
      <c r="I170" s="18">
        <f t="shared" si="0"/>
        <v>20</v>
      </c>
      <c r="J170" s="18"/>
    </row>
    <row r="171" spans="2:11" x14ac:dyDescent="0.2">
      <c r="B171" s="29"/>
      <c r="C171" s="29"/>
      <c r="D171" s="29" t="s">
        <v>320</v>
      </c>
      <c r="E171" s="29" t="s">
        <v>306</v>
      </c>
      <c r="F171" s="23" t="s">
        <v>302</v>
      </c>
      <c r="G171" s="18">
        <v>198</v>
      </c>
      <c r="H171" s="18">
        <v>20</v>
      </c>
      <c r="I171" s="18">
        <f t="shared" si="0"/>
        <v>3960</v>
      </c>
      <c r="J171" s="18"/>
    </row>
    <row r="172" spans="2:11" x14ac:dyDescent="0.2">
      <c r="B172" s="29"/>
      <c r="C172" s="29"/>
      <c r="D172" s="29" t="s">
        <v>321</v>
      </c>
      <c r="E172" s="29" t="s">
        <v>189</v>
      </c>
      <c r="F172" s="23" t="s">
        <v>302</v>
      </c>
      <c r="G172" s="18">
        <v>198</v>
      </c>
      <c r="H172" s="18">
        <v>20</v>
      </c>
      <c r="I172" s="18">
        <f t="shared" si="0"/>
        <v>3960</v>
      </c>
      <c r="J172" s="18"/>
    </row>
    <row r="173" spans="2:11" x14ac:dyDescent="0.2">
      <c r="B173" s="1" t="s">
        <v>281</v>
      </c>
      <c r="C173" s="1"/>
      <c r="D173" s="1"/>
      <c r="E173" s="1"/>
      <c r="F173" s="4"/>
      <c r="G173" s="1"/>
      <c r="H173" s="3"/>
      <c r="I173" s="237" t="s">
        <v>281</v>
      </c>
      <c r="J173" s="237"/>
    </row>
    <row r="175" spans="2:11" ht="15" x14ac:dyDescent="0.25">
      <c r="B175" s="33" t="s">
        <v>322</v>
      </c>
    </row>
    <row r="177" spans="2:12" x14ac:dyDescent="0.2">
      <c r="B177" t="s">
        <v>106</v>
      </c>
      <c r="F177" s="5" t="s">
        <v>102</v>
      </c>
      <c r="G177" s="2">
        <v>11642.68</v>
      </c>
      <c r="H177" s="2">
        <f>H198/G177</f>
        <v>435.62554669543437</v>
      </c>
      <c r="I177" s="179" t="s">
        <v>367</v>
      </c>
    </row>
    <row r="178" spans="2:12" x14ac:dyDescent="0.2">
      <c r="B178" t="s">
        <v>190</v>
      </c>
      <c r="F178" s="5" t="s">
        <v>281</v>
      </c>
      <c r="G178" s="2" t="s">
        <v>281</v>
      </c>
      <c r="I178" s="36" t="s">
        <v>291</v>
      </c>
      <c r="J178" s="36" t="s">
        <v>292</v>
      </c>
    </row>
    <row r="179" spans="2:12" ht="26.25" customHeight="1" x14ac:dyDescent="0.2"/>
    <row r="180" spans="2:12" ht="18" customHeight="1" x14ac:dyDescent="0.2">
      <c r="B180" s="104" t="s">
        <v>323</v>
      </c>
      <c r="C180" s="113"/>
      <c r="D180" s="113"/>
      <c r="E180" s="114"/>
      <c r="F180" s="115"/>
      <c r="G180" s="96" t="s">
        <v>191</v>
      </c>
      <c r="H180" s="105" t="s">
        <v>24</v>
      </c>
      <c r="I180" s="105" t="s">
        <v>192</v>
      </c>
      <c r="J180" s="105" t="s">
        <v>32</v>
      </c>
    </row>
    <row r="181" spans="2:12" ht="23.25" customHeight="1" x14ac:dyDescent="0.2"/>
    <row r="182" spans="2:12" x14ac:dyDescent="0.2">
      <c r="B182" s="31" t="s">
        <v>324</v>
      </c>
      <c r="C182" s="26"/>
      <c r="D182" s="26"/>
      <c r="E182" s="26"/>
      <c r="F182" s="42"/>
      <c r="G182" s="19">
        <f>SUM(G184:G196)</f>
        <v>435.63000000000011</v>
      </c>
      <c r="H182" s="19">
        <f>SUM(H184:H196)</f>
        <v>5071848.84</v>
      </c>
      <c r="I182" s="19">
        <f>SUM(I184:I196)</f>
        <v>13693991.860000001</v>
      </c>
      <c r="J182" s="19">
        <f>SUM(J184:J196)</f>
        <v>100.00000000000003</v>
      </c>
      <c r="L182" s="184" t="s">
        <v>362</v>
      </c>
    </row>
    <row r="183" spans="2:12" x14ac:dyDescent="0.2">
      <c r="B183" s="6"/>
      <c r="C183" s="7"/>
      <c r="D183" s="7"/>
      <c r="E183" s="7"/>
      <c r="F183" s="21"/>
      <c r="G183" s="7"/>
      <c r="H183" s="27"/>
      <c r="I183" s="27"/>
      <c r="J183" s="17"/>
      <c r="L183" s="184" t="s">
        <v>363</v>
      </c>
    </row>
    <row r="184" spans="2:12" x14ac:dyDescent="0.2">
      <c r="B184" s="6" t="s">
        <v>325</v>
      </c>
      <c r="C184" s="7"/>
      <c r="D184" s="7"/>
      <c r="E184" s="7"/>
      <c r="F184" s="21" t="s">
        <v>281</v>
      </c>
      <c r="G184" s="29">
        <v>229.31</v>
      </c>
      <c r="H184" s="18">
        <v>2669791.81</v>
      </c>
      <c r="I184" s="18">
        <v>7208437.8799999999</v>
      </c>
      <c r="J184" s="18">
        <v>52.64</v>
      </c>
      <c r="L184" s="116" t="s">
        <v>281</v>
      </c>
    </row>
    <row r="185" spans="2:12" x14ac:dyDescent="0.2">
      <c r="B185" s="6"/>
      <c r="C185" s="7"/>
      <c r="D185" s="7"/>
      <c r="E185" s="7"/>
      <c r="F185" s="21"/>
      <c r="G185" s="7"/>
      <c r="H185" s="27"/>
      <c r="I185" s="27"/>
      <c r="J185" s="17"/>
    </row>
    <row r="186" spans="2:12" x14ac:dyDescent="0.2">
      <c r="B186" s="6" t="s">
        <v>326</v>
      </c>
      <c r="C186" s="7"/>
      <c r="D186" s="7"/>
      <c r="E186" s="7"/>
      <c r="F186" s="21"/>
      <c r="G186" s="29">
        <v>117.12</v>
      </c>
      <c r="H186" s="18">
        <v>1363540.32</v>
      </c>
      <c r="I186" s="18">
        <v>3681558.86</v>
      </c>
      <c r="J186" s="18">
        <v>26.89</v>
      </c>
      <c r="L186" t="s">
        <v>281</v>
      </c>
    </row>
    <row r="187" spans="2:12" x14ac:dyDescent="0.2">
      <c r="B187" s="6"/>
      <c r="C187" s="7"/>
      <c r="D187" s="7"/>
      <c r="E187" s="7"/>
      <c r="F187" s="21"/>
      <c r="G187" s="7"/>
      <c r="H187" s="27"/>
      <c r="I187" s="27"/>
      <c r="J187" s="17"/>
    </row>
    <row r="188" spans="2:12" x14ac:dyDescent="0.2">
      <c r="B188" s="6" t="s">
        <v>327</v>
      </c>
      <c r="C188" s="7"/>
      <c r="D188" s="7"/>
      <c r="E188" s="7"/>
      <c r="F188" s="21"/>
      <c r="G188" s="29">
        <v>17.61</v>
      </c>
      <c r="H188" s="18">
        <v>205002.58</v>
      </c>
      <c r="I188" s="18">
        <v>553506.97</v>
      </c>
      <c r="J188" s="18">
        <v>4.04</v>
      </c>
      <c r="L188" t="s">
        <v>281</v>
      </c>
    </row>
    <row r="189" spans="2:12" x14ac:dyDescent="0.2">
      <c r="B189" s="6"/>
      <c r="C189" s="7"/>
      <c r="D189" s="7"/>
      <c r="E189" s="7"/>
      <c r="F189" s="21"/>
      <c r="G189" s="7"/>
      <c r="H189" s="27"/>
      <c r="I189" s="27"/>
      <c r="J189" s="17"/>
    </row>
    <row r="190" spans="2:12" x14ac:dyDescent="0.2">
      <c r="B190" s="6" t="s">
        <v>328</v>
      </c>
      <c r="C190" s="7"/>
      <c r="D190" s="7"/>
      <c r="E190" s="7"/>
      <c r="F190" s="21"/>
      <c r="G190" s="29">
        <v>19.78</v>
      </c>
      <c r="H190" s="18">
        <v>230332.88</v>
      </c>
      <c r="I190" s="18">
        <v>621898.78</v>
      </c>
      <c r="J190" s="18">
        <v>4.54</v>
      </c>
      <c r="L190" t="s">
        <v>281</v>
      </c>
    </row>
    <row r="191" spans="2:12" x14ac:dyDescent="0.2">
      <c r="B191" s="6"/>
      <c r="C191" s="7"/>
      <c r="D191" s="7"/>
      <c r="E191" s="7"/>
      <c r="F191" s="21"/>
      <c r="G191" s="7"/>
      <c r="H191" s="27"/>
      <c r="I191" s="27"/>
      <c r="J191" s="17"/>
    </row>
    <row r="192" spans="2:12" x14ac:dyDescent="0.2">
      <c r="B192" s="6" t="s">
        <v>329</v>
      </c>
      <c r="C192" s="7"/>
      <c r="D192" s="7"/>
      <c r="E192" s="7"/>
      <c r="F192" s="21"/>
      <c r="G192" s="29">
        <v>2.85</v>
      </c>
      <c r="H192" s="18">
        <v>33159.800000000003</v>
      </c>
      <c r="I192" s="18">
        <v>89531.46</v>
      </c>
      <c r="J192" s="18">
        <v>0.65</v>
      </c>
      <c r="L192" t="s">
        <v>281</v>
      </c>
    </row>
    <row r="193" spans="2:13" x14ac:dyDescent="0.2">
      <c r="B193" s="6"/>
      <c r="C193" s="7"/>
      <c r="D193" s="7"/>
      <c r="E193" s="134"/>
      <c r="F193" s="21"/>
      <c r="G193" s="7"/>
      <c r="H193" s="27"/>
      <c r="I193" s="27"/>
      <c r="J193" s="17"/>
    </row>
    <row r="194" spans="2:13" x14ac:dyDescent="0.2">
      <c r="B194" s="188" t="s">
        <v>368</v>
      </c>
      <c r="C194" s="7"/>
      <c r="D194" s="7"/>
      <c r="E194" s="7"/>
      <c r="F194" s="21"/>
      <c r="G194" s="29">
        <v>11.17</v>
      </c>
      <c r="H194" s="18">
        <v>130000</v>
      </c>
      <c r="I194" s="18">
        <v>351000</v>
      </c>
      <c r="J194" s="18">
        <v>2.56</v>
      </c>
      <c r="L194" t="s">
        <v>281</v>
      </c>
    </row>
    <row r="195" spans="2:13" x14ac:dyDescent="0.2">
      <c r="B195" s="6"/>
      <c r="C195" s="7"/>
      <c r="D195" s="7"/>
      <c r="E195" s="7"/>
      <c r="F195" s="21"/>
      <c r="G195" s="7"/>
      <c r="H195" s="27"/>
      <c r="I195" s="27"/>
      <c r="J195" s="17"/>
    </row>
    <row r="196" spans="2:13" x14ac:dyDescent="0.2">
      <c r="B196" s="11" t="s">
        <v>194</v>
      </c>
      <c r="C196" s="12"/>
      <c r="D196" s="12"/>
      <c r="E196" s="12"/>
      <c r="F196" s="43"/>
      <c r="G196" s="29">
        <v>37.79</v>
      </c>
      <c r="H196" s="18">
        <v>440021.45</v>
      </c>
      <c r="I196" s="18">
        <v>1188057.9099999999</v>
      </c>
      <c r="J196" s="18">
        <v>8.68</v>
      </c>
      <c r="L196" t="s">
        <v>281</v>
      </c>
    </row>
    <row r="197" spans="2:13" x14ac:dyDescent="0.2">
      <c r="B197" s="31"/>
      <c r="C197" s="26"/>
      <c r="D197" s="26"/>
      <c r="E197" s="26"/>
      <c r="F197" s="42"/>
      <c r="G197" s="7"/>
      <c r="H197" s="27"/>
      <c r="I197" s="27"/>
      <c r="J197" s="17"/>
    </row>
    <row r="198" spans="2:13" ht="15" customHeight="1" x14ac:dyDescent="0.2">
      <c r="B198" s="169" t="s">
        <v>193</v>
      </c>
      <c r="C198" s="26"/>
      <c r="D198" s="26"/>
      <c r="E198" s="26"/>
      <c r="F198" s="170"/>
      <c r="G198" s="168"/>
      <c r="H198" s="19">
        <f>H182</f>
        <v>5071848.84</v>
      </c>
      <c r="I198" s="18"/>
      <c r="J198" s="18"/>
    </row>
    <row r="199" spans="2:13" ht="15" customHeight="1" x14ac:dyDescent="0.2">
      <c r="B199" s="20" t="s">
        <v>195</v>
      </c>
      <c r="C199" s="7"/>
      <c r="D199" s="7"/>
      <c r="E199" s="7"/>
      <c r="F199" s="22"/>
      <c r="G199" s="168"/>
      <c r="H199" s="19">
        <f>H198/1.18</f>
        <v>4298176.9830508474</v>
      </c>
      <c r="I199" s="18"/>
      <c r="J199" s="18"/>
      <c r="M199" s="2"/>
    </row>
    <row r="200" spans="2:13" ht="15" customHeight="1" x14ac:dyDescent="0.2">
      <c r="B200" s="238" t="s">
        <v>5</v>
      </c>
      <c r="C200" s="239"/>
      <c r="D200" s="239"/>
      <c r="E200" s="239"/>
      <c r="F200" s="172"/>
      <c r="G200" s="168"/>
      <c r="H200" s="19">
        <f>H198-H199</f>
        <v>773671.85694915242</v>
      </c>
      <c r="I200" s="18"/>
      <c r="J200" s="18"/>
    </row>
    <row r="202" spans="2:13" ht="15" x14ac:dyDescent="0.25">
      <c r="B202" s="33">
        <v>7</v>
      </c>
      <c r="D202" s="33" t="s">
        <v>273</v>
      </c>
      <c r="M202" s="2"/>
    </row>
    <row r="203" spans="2:13" ht="19.5" customHeight="1" x14ac:dyDescent="0.2"/>
    <row r="204" spans="2:13" ht="22.5" x14ac:dyDescent="0.2">
      <c r="D204" s="135" t="s">
        <v>196</v>
      </c>
      <c r="E204" s="26"/>
      <c r="F204" s="176" t="s">
        <v>197</v>
      </c>
      <c r="G204" s="45"/>
    </row>
    <row r="205" spans="2:13" ht="15" customHeight="1" x14ac:dyDescent="0.2">
      <c r="D205" s="6" t="s">
        <v>274</v>
      </c>
      <c r="E205" s="7"/>
      <c r="F205" s="177">
        <v>3</v>
      </c>
      <c r="G205" s="9"/>
    </row>
    <row r="206" spans="2:13" ht="15" customHeight="1" x14ac:dyDescent="0.2">
      <c r="D206" s="6" t="s">
        <v>275</v>
      </c>
      <c r="E206" s="7"/>
      <c r="F206" s="177">
        <v>18</v>
      </c>
      <c r="G206" s="9"/>
    </row>
    <row r="207" spans="2:13" ht="15" customHeight="1" x14ac:dyDescent="0.2">
      <c r="D207" s="6" t="s">
        <v>276</v>
      </c>
      <c r="E207" s="7"/>
      <c r="F207" s="177">
        <v>2</v>
      </c>
      <c r="G207" s="9"/>
    </row>
    <row r="208" spans="2:13" ht="15" customHeight="1" x14ac:dyDescent="0.2">
      <c r="D208" s="20" t="s">
        <v>87</v>
      </c>
      <c r="E208" s="7"/>
      <c r="F208" s="178">
        <f>SUM(F205:F207)</f>
        <v>23</v>
      </c>
      <c r="G208" s="9"/>
    </row>
    <row r="209" spans="2:12" ht="37.5" customHeight="1" x14ac:dyDescent="0.2"/>
    <row r="210" spans="2:12" ht="18" customHeight="1" x14ac:dyDescent="0.2">
      <c r="B210" s="129" t="s">
        <v>346</v>
      </c>
      <c r="C210" s="130"/>
      <c r="D210" s="131"/>
      <c r="E210" s="133" t="s">
        <v>347</v>
      </c>
      <c r="F210" s="129" t="s">
        <v>84</v>
      </c>
      <c r="G210" s="129" t="s">
        <v>85</v>
      </c>
      <c r="H210" s="132" t="s">
        <v>348</v>
      </c>
      <c r="I210" s="132" t="s">
        <v>23</v>
      </c>
      <c r="J210" s="132" t="s">
        <v>87</v>
      </c>
    </row>
    <row r="211" spans="2:12" ht="23.25" customHeight="1" x14ac:dyDescent="0.2"/>
    <row r="212" spans="2:12" ht="15.75" customHeight="1" x14ac:dyDescent="0.2">
      <c r="B212" s="19">
        <v>8</v>
      </c>
      <c r="C212" s="234" t="s">
        <v>364</v>
      </c>
      <c r="D212" s="235"/>
      <c r="E212" s="236"/>
      <c r="F212" s="23"/>
      <c r="G212" s="29"/>
      <c r="H212" s="18"/>
      <c r="I212" s="18"/>
      <c r="J212" s="19">
        <f>SUM(J214:J216)</f>
        <v>340860</v>
      </c>
    </row>
    <row r="213" spans="2:12" x14ac:dyDescent="0.2">
      <c r="B213" s="46"/>
      <c r="C213" s="9"/>
      <c r="D213" s="9"/>
      <c r="E213" s="44"/>
      <c r="F213" s="32"/>
      <c r="G213" s="14"/>
      <c r="H213" s="15"/>
      <c r="I213" s="15"/>
      <c r="J213" s="10"/>
    </row>
    <row r="214" spans="2:12" ht="15" customHeight="1" x14ac:dyDescent="0.2">
      <c r="B214" s="19">
        <v>8.01</v>
      </c>
      <c r="C214" s="20" t="s">
        <v>277</v>
      </c>
      <c r="D214" s="7"/>
      <c r="E214" s="128"/>
      <c r="F214" s="23"/>
      <c r="G214" s="29"/>
      <c r="H214" s="18"/>
      <c r="I214" s="18"/>
      <c r="J214" s="19">
        <f>I215</f>
        <v>294400</v>
      </c>
    </row>
    <row r="215" spans="2:12" ht="15" customHeight="1" x14ac:dyDescent="0.2">
      <c r="B215" s="19"/>
      <c r="C215" s="6"/>
      <c r="D215" s="185" t="s">
        <v>365</v>
      </c>
      <c r="E215" s="128"/>
      <c r="F215" s="23" t="s">
        <v>279</v>
      </c>
      <c r="G215" s="18">
        <v>23</v>
      </c>
      <c r="H215" s="18">
        <v>12800</v>
      </c>
      <c r="I215" s="18">
        <f>H215*G215</f>
        <v>294400</v>
      </c>
      <c r="J215" s="19"/>
      <c r="L215" s="180" t="s">
        <v>281</v>
      </c>
    </row>
    <row r="216" spans="2:12" ht="15" customHeight="1" x14ac:dyDescent="0.2">
      <c r="B216" s="19">
        <v>8.02</v>
      </c>
      <c r="C216" s="44" t="s">
        <v>278</v>
      </c>
      <c r="D216" s="25"/>
      <c r="E216" s="44"/>
      <c r="F216" s="23"/>
      <c r="G216" s="18" t="s">
        <v>281</v>
      </c>
      <c r="H216" s="18"/>
      <c r="I216" s="18" t="s">
        <v>281</v>
      </c>
      <c r="J216" s="19">
        <f>I217</f>
        <v>46460</v>
      </c>
    </row>
    <row r="217" spans="2:12" ht="15" customHeight="1" x14ac:dyDescent="0.2">
      <c r="B217" s="19"/>
      <c r="C217" s="6"/>
      <c r="D217" s="186" t="s">
        <v>366</v>
      </c>
      <c r="E217" s="128"/>
      <c r="F217" s="23" t="s">
        <v>279</v>
      </c>
      <c r="G217" s="18">
        <v>23</v>
      </c>
      <c r="H217" s="18">
        <v>2020</v>
      </c>
      <c r="I217" s="18">
        <f>H217*G217</f>
        <v>46460</v>
      </c>
      <c r="J217" s="19"/>
      <c r="L217" s="180" t="s">
        <v>281</v>
      </c>
    </row>
    <row r="218" spans="2:12" x14ac:dyDescent="0.2">
      <c r="G218" t="s">
        <v>281</v>
      </c>
    </row>
  </sheetData>
  <mergeCells count="8">
    <mergeCell ref="C212:E212"/>
    <mergeCell ref="I1:J1"/>
    <mergeCell ref="B200:E200"/>
    <mergeCell ref="B12:D12"/>
    <mergeCell ref="B40:D40"/>
    <mergeCell ref="B89:D89"/>
    <mergeCell ref="B124:D124"/>
    <mergeCell ref="I173:J173"/>
  </mergeCells>
  <phoneticPr fontId="0" type="noConversion"/>
  <printOptions horizontalCentered="1"/>
  <pageMargins left="0.75" right="0.75" top="0.59055118110236227" bottom="0.19685039370078741" header="0" footer="0"/>
  <pageSetup paperSize="9" scale="75" orientation="portrait" r:id="rId1"/>
  <headerFooter alignWithMargins="0"/>
  <rowBreaks count="5" manualBreakCount="5">
    <brk id="31" min="1" max="10" man="1"/>
    <brk id="78" min="1" max="10" man="1"/>
    <brk id="106" min="1" max="10" man="1"/>
    <brk id="172" min="1" max="10" man="1"/>
    <brk id="200" min="1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60"/>
  <sheetViews>
    <sheetView topLeftCell="A35" workbookViewId="0">
      <selection activeCell="E90" sqref="E90"/>
    </sheetView>
  </sheetViews>
  <sheetFormatPr baseColWidth="10" defaultRowHeight="12.75" x14ac:dyDescent="0.2"/>
  <cols>
    <col min="1" max="2" width="5.140625" customWidth="1"/>
    <col min="3" max="3" width="4.42578125" customWidth="1"/>
    <col min="4" max="4" width="5.42578125" customWidth="1"/>
    <col min="5" max="5" width="35" customWidth="1"/>
    <col min="6" max="6" width="7.42578125" customWidth="1"/>
    <col min="7" max="7" width="6.7109375" customWidth="1"/>
    <col min="8" max="8" width="9.28515625" customWidth="1"/>
    <col min="9" max="9" width="9.140625" customWidth="1"/>
    <col min="10" max="10" width="9" customWidth="1"/>
    <col min="11" max="11" width="10.42578125" customWidth="1"/>
  </cols>
  <sheetData>
    <row r="2" spans="2:11" x14ac:dyDescent="0.2">
      <c r="B2" s="1" t="s">
        <v>2</v>
      </c>
      <c r="C2" s="1"/>
      <c r="D2" s="1"/>
      <c r="E2" s="1"/>
      <c r="F2" s="4"/>
      <c r="G2" s="1"/>
      <c r="H2" s="3"/>
      <c r="I2" s="237" t="s">
        <v>16</v>
      </c>
      <c r="J2" s="237"/>
      <c r="K2" s="237"/>
    </row>
    <row r="4" spans="2:11" ht="15" x14ac:dyDescent="0.25">
      <c r="B4" s="33">
        <v>6</v>
      </c>
      <c r="D4" s="33" t="s">
        <v>14</v>
      </c>
      <c r="F4" s="5"/>
    </row>
    <row r="5" spans="2:11" ht="24.75" customHeight="1" x14ac:dyDescent="0.2">
      <c r="F5" s="5"/>
    </row>
    <row r="6" spans="2:11" ht="31.5" customHeight="1" x14ac:dyDescent="0.2">
      <c r="B6" s="141"/>
      <c r="C6" s="141"/>
      <c r="D6" s="142" t="s">
        <v>196</v>
      </c>
      <c r="E6" s="143"/>
      <c r="F6" s="144" t="s">
        <v>197</v>
      </c>
      <c r="G6" s="45"/>
      <c r="H6" s="141"/>
      <c r="I6" s="141"/>
      <c r="J6" s="141"/>
      <c r="K6" s="141"/>
    </row>
    <row r="7" spans="2:11" x14ac:dyDescent="0.2">
      <c r="B7" s="141"/>
      <c r="C7" s="141"/>
      <c r="D7" s="145" t="s">
        <v>198</v>
      </c>
      <c r="E7" s="146"/>
      <c r="F7" s="161">
        <v>3</v>
      </c>
      <c r="G7" s="147"/>
      <c r="H7" s="141"/>
      <c r="I7" s="141"/>
      <c r="J7" s="141"/>
      <c r="K7" s="141"/>
    </row>
    <row r="8" spans="2:11" x14ac:dyDescent="0.2">
      <c r="B8" s="141"/>
      <c r="C8" s="141"/>
      <c r="D8" s="145" t="s">
        <v>199</v>
      </c>
      <c r="E8" s="146"/>
      <c r="F8" s="161">
        <v>18</v>
      </c>
      <c r="G8" s="147"/>
      <c r="H8" s="141"/>
      <c r="I8" s="141"/>
      <c r="J8" s="141"/>
      <c r="K8" s="141"/>
    </row>
    <row r="9" spans="2:11" x14ac:dyDescent="0.2">
      <c r="B9" s="141"/>
      <c r="C9" s="141"/>
      <c r="D9" s="145" t="s">
        <v>200</v>
      </c>
      <c r="E9" s="146"/>
      <c r="F9" s="161">
        <v>2</v>
      </c>
      <c r="G9" s="147"/>
      <c r="H9" s="141"/>
      <c r="I9" s="141"/>
      <c r="J9" s="141"/>
      <c r="K9" s="141"/>
    </row>
    <row r="10" spans="2:11" x14ac:dyDescent="0.2">
      <c r="B10" s="141"/>
      <c r="C10" s="141"/>
      <c r="D10" s="148" t="s">
        <v>87</v>
      </c>
      <c r="E10" s="146"/>
      <c r="F10" s="162">
        <f>SUM(F7:F9)</f>
        <v>23</v>
      </c>
      <c r="G10" s="147"/>
      <c r="H10" s="141"/>
      <c r="I10" s="141"/>
      <c r="J10" s="141"/>
      <c r="K10" s="141"/>
    </row>
    <row r="11" spans="2:11" x14ac:dyDescent="0.2">
      <c r="B11" s="141"/>
      <c r="C11" s="141"/>
      <c r="D11" s="141"/>
      <c r="E11" s="141"/>
      <c r="F11" s="141"/>
      <c r="G11" s="141"/>
      <c r="H11" s="141"/>
      <c r="I11" s="141"/>
      <c r="J11" s="141"/>
      <c r="K11" s="141"/>
    </row>
    <row r="12" spans="2:11" x14ac:dyDescent="0.2">
      <c r="B12" s="141"/>
      <c r="C12" s="141"/>
      <c r="D12" s="141"/>
      <c r="E12" s="141"/>
      <c r="F12" s="141"/>
      <c r="G12" s="141"/>
      <c r="H12" s="141"/>
      <c r="I12" s="141"/>
      <c r="J12" s="141"/>
      <c r="K12" s="141"/>
    </row>
    <row r="13" spans="2:11" x14ac:dyDescent="0.2">
      <c r="B13" s="141"/>
      <c r="C13" s="141"/>
      <c r="D13" s="141"/>
      <c r="E13" s="141"/>
      <c r="F13" s="141"/>
      <c r="G13" s="141"/>
      <c r="H13" s="141"/>
      <c r="I13" s="141"/>
      <c r="J13" s="141"/>
      <c r="K13" s="141"/>
    </row>
    <row r="14" spans="2:11" ht="18" customHeight="1" x14ac:dyDescent="0.2">
      <c r="B14" s="240" t="s">
        <v>301</v>
      </c>
      <c r="C14" s="240"/>
      <c r="D14" s="240"/>
      <c r="E14" s="149" t="s">
        <v>83</v>
      </c>
      <c r="F14" s="149" t="s">
        <v>84</v>
      </c>
      <c r="G14" s="149" t="s">
        <v>85</v>
      </c>
      <c r="H14" s="150" t="s">
        <v>86</v>
      </c>
      <c r="I14" s="150" t="s">
        <v>23</v>
      </c>
      <c r="J14" s="150" t="s">
        <v>330</v>
      </c>
      <c r="K14" s="150" t="s">
        <v>284</v>
      </c>
    </row>
    <row r="15" spans="2:11" x14ac:dyDescent="0.2">
      <c r="B15" s="141"/>
      <c r="C15" s="141"/>
      <c r="D15" s="141"/>
      <c r="E15" s="141"/>
      <c r="F15" s="151"/>
      <c r="G15" s="141"/>
      <c r="H15" s="152"/>
      <c r="I15" s="152"/>
      <c r="J15" s="152"/>
      <c r="K15" s="152"/>
    </row>
    <row r="16" spans="2:11" x14ac:dyDescent="0.2">
      <c r="B16" s="153">
        <v>6</v>
      </c>
      <c r="C16" s="154"/>
      <c r="D16" s="154"/>
      <c r="E16" s="155" t="s">
        <v>14</v>
      </c>
      <c r="F16" s="154"/>
      <c r="G16" s="156"/>
      <c r="H16" s="157"/>
      <c r="I16" s="157"/>
      <c r="J16" s="158"/>
      <c r="K16" s="158">
        <f>SUM(K18:K137)</f>
        <v>307285</v>
      </c>
    </row>
    <row r="17" spans="2:13" x14ac:dyDescent="0.2">
      <c r="B17" s="153"/>
      <c r="C17" s="154"/>
      <c r="D17" s="154"/>
      <c r="E17" s="155"/>
      <c r="F17" s="154"/>
      <c r="G17" s="156"/>
      <c r="H17" s="157"/>
      <c r="I17" s="157"/>
      <c r="J17" s="158"/>
      <c r="K17" s="158"/>
    </row>
    <row r="18" spans="2:13" x14ac:dyDescent="0.2">
      <c r="B18" s="153"/>
      <c r="C18" s="159">
        <v>6.1</v>
      </c>
      <c r="D18" s="154"/>
      <c r="E18" s="155" t="s">
        <v>201</v>
      </c>
      <c r="F18" s="154"/>
      <c r="G18" s="156"/>
      <c r="H18" s="157"/>
      <c r="I18" s="157"/>
      <c r="J18" s="157"/>
      <c r="K18" s="201">
        <f>SUM(J20:J32)</f>
        <v>62260</v>
      </c>
    </row>
    <row r="19" spans="2:13" x14ac:dyDescent="0.2">
      <c r="B19" s="153"/>
      <c r="C19" s="159"/>
      <c r="D19" s="154"/>
      <c r="E19" s="155"/>
      <c r="F19" s="154"/>
      <c r="G19" s="156"/>
      <c r="H19" s="157"/>
      <c r="I19" s="157"/>
      <c r="J19" s="157"/>
      <c r="K19" s="157"/>
    </row>
    <row r="20" spans="2:13" x14ac:dyDescent="0.2">
      <c r="B20" s="153"/>
      <c r="C20" s="159"/>
      <c r="D20" s="159" t="s">
        <v>159</v>
      </c>
      <c r="E20" s="155" t="s">
        <v>202</v>
      </c>
      <c r="F20" s="154"/>
      <c r="G20" s="156"/>
      <c r="H20" s="157"/>
      <c r="I20" s="157"/>
      <c r="J20" s="158">
        <f>SUM(I21:I25)</f>
        <v>10250</v>
      </c>
      <c r="K20" s="157"/>
    </row>
    <row r="21" spans="2:13" x14ac:dyDescent="0.2">
      <c r="B21" s="153"/>
      <c r="C21" s="159"/>
      <c r="D21" s="154"/>
      <c r="E21" s="156" t="s">
        <v>203</v>
      </c>
      <c r="F21" s="154" t="s">
        <v>280</v>
      </c>
      <c r="G21" s="157">
        <v>1</v>
      </c>
      <c r="H21" s="157">
        <v>2500</v>
      </c>
      <c r="I21" s="157">
        <f>H21*G21</f>
        <v>2500</v>
      </c>
      <c r="J21" s="157"/>
      <c r="K21" s="157"/>
    </row>
    <row r="22" spans="2:13" x14ac:dyDescent="0.2">
      <c r="B22" s="153"/>
      <c r="C22" s="159"/>
      <c r="D22" s="154"/>
      <c r="E22" s="156" t="s">
        <v>204</v>
      </c>
      <c r="F22" s="154" t="s">
        <v>280</v>
      </c>
      <c r="G22" s="157">
        <v>1</v>
      </c>
      <c r="H22" s="157">
        <v>700</v>
      </c>
      <c r="I22" s="157">
        <f t="shared" ref="I22:I85" si="0">H22*G22</f>
        <v>700</v>
      </c>
      <c r="J22" s="157"/>
      <c r="K22" s="157"/>
    </row>
    <row r="23" spans="2:13" x14ac:dyDescent="0.2">
      <c r="B23" s="153"/>
      <c r="C23" s="159"/>
      <c r="D23" s="154"/>
      <c r="E23" s="156" t="s">
        <v>345</v>
      </c>
      <c r="F23" s="154" t="s">
        <v>280</v>
      </c>
      <c r="G23" s="157">
        <v>1</v>
      </c>
      <c r="H23" s="157">
        <v>3000</v>
      </c>
      <c r="I23" s="157">
        <f>H23</f>
        <v>3000</v>
      </c>
      <c r="J23" s="157"/>
      <c r="K23" s="157"/>
    </row>
    <row r="24" spans="2:13" x14ac:dyDescent="0.2">
      <c r="B24" s="153"/>
      <c r="C24" s="159"/>
      <c r="D24" s="154"/>
      <c r="E24" s="156" t="s">
        <v>205</v>
      </c>
      <c r="F24" s="154" t="s">
        <v>280</v>
      </c>
      <c r="G24" s="157">
        <v>1</v>
      </c>
      <c r="H24" s="157">
        <v>3000</v>
      </c>
      <c r="I24" s="157">
        <f t="shared" si="0"/>
        <v>3000</v>
      </c>
      <c r="J24" s="157"/>
      <c r="K24" s="157"/>
    </row>
    <row r="25" spans="2:13" x14ac:dyDescent="0.2">
      <c r="B25" s="153"/>
      <c r="C25" s="159"/>
      <c r="D25" s="154"/>
      <c r="E25" s="156" t="s">
        <v>206</v>
      </c>
      <c r="F25" s="154" t="s">
        <v>279</v>
      </c>
      <c r="G25" s="157">
        <v>21</v>
      </c>
      <c r="H25" s="157">
        <v>50</v>
      </c>
      <c r="I25" s="157">
        <f t="shared" si="0"/>
        <v>1050</v>
      </c>
      <c r="J25" s="157"/>
      <c r="K25" s="157"/>
    </row>
    <row r="26" spans="2:13" x14ac:dyDescent="0.2">
      <c r="B26" s="153"/>
      <c r="C26" s="159"/>
      <c r="D26" s="154"/>
      <c r="E26" s="156"/>
      <c r="F26" s="154"/>
      <c r="G26" s="157"/>
      <c r="H26" s="157"/>
      <c r="I26" s="157" t="s">
        <v>281</v>
      </c>
      <c r="J26" s="157"/>
      <c r="K26" s="157"/>
    </row>
    <row r="27" spans="2:13" x14ac:dyDescent="0.2">
      <c r="B27" s="153"/>
      <c r="C27" s="159"/>
      <c r="D27" s="159" t="s">
        <v>162</v>
      </c>
      <c r="E27" s="155" t="s">
        <v>207</v>
      </c>
      <c r="F27" s="154"/>
      <c r="G27" s="157"/>
      <c r="H27" s="157"/>
      <c r="I27" s="157" t="s">
        <v>281</v>
      </c>
      <c r="J27" s="158">
        <f>SUM(I28:I30)</f>
        <v>24500</v>
      </c>
      <c r="K27" s="157"/>
    </row>
    <row r="28" spans="2:13" x14ac:dyDescent="0.2">
      <c r="B28" s="153"/>
      <c r="C28" s="159"/>
      <c r="D28" s="154"/>
      <c r="E28" s="156" t="s">
        <v>208</v>
      </c>
      <c r="F28" s="154" t="s">
        <v>280</v>
      </c>
      <c r="G28" s="157">
        <v>1</v>
      </c>
      <c r="H28" s="157">
        <v>2500</v>
      </c>
      <c r="I28" s="157">
        <f t="shared" si="0"/>
        <v>2500</v>
      </c>
      <c r="J28" s="157"/>
      <c r="K28" s="157"/>
    </row>
    <row r="29" spans="2:13" x14ac:dyDescent="0.2">
      <c r="B29" s="153"/>
      <c r="C29" s="159"/>
      <c r="D29" s="154"/>
      <c r="E29" s="156" t="s">
        <v>209</v>
      </c>
      <c r="F29" s="154" t="s">
        <v>280</v>
      </c>
      <c r="G29" s="157">
        <v>1</v>
      </c>
      <c r="H29" s="157">
        <v>17000</v>
      </c>
      <c r="I29" s="157">
        <f t="shared" si="0"/>
        <v>17000</v>
      </c>
      <c r="J29" s="190"/>
      <c r="K29" s="190" t="s">
        <v>370</v>
      </c>
      <c r="L29" s="184" t="s">
        <v>369</v>
      </c>
    </row>
    <row r="30" spans="2:13" x14ac:dyDescent="0.2">
      <c r="B30" s="153"/>
      <c r="C30" s="159"/>
      <c r="D30" s="154"/>
      <c r="E30" s="156" t="s">
        <v>210</v>
      </c>
      <c r="F30" s="154" t="s">
        <v>280</v>
      </c>
      <c r="G30" s="157">
        <v>1</v>
      </c>
      <c r="H30" s="157">
        <v>5000</v>
      </c>
      <c r="I30" s="157">
        <f t="shared" si="0"/>
        <v>5000</v>
      </c>
      <c r="J30" s="157"/>
      <c r="K30" s="157"/>
      <c r="L30" s="181">
        <v>56686.18</v>
      </c>
      <c r="M30" s="184" t="s">
        <v>372</v>
      </c>
    </row>
    <row r="31" spans="2:13" x14ac:dyDescent="0.2">
      <c r="B31" s="153"/>
      <c r="C31" s="159"/>
      <c r="D31" s="154"/>
      <c r="E31" s="156"/>
      <c r="F31" s="154"/>
      <c r="G31" s="157"/>
      <c r="H31" s="157"/>
      <c r="I31" s="157" t="s">
        <v>281</v>
      </c>
      <c r="J31" s="157"/>
      <c r="K31" s="157"/>
      <c r="L31" s="181">
        <f>56686.18/2.7</f>
        <v>20994.88148148148</v>
      </c>
      <c r="M31" s="184" t="s">
        <v>371</v>
      </c>
    </row>
    <row r="32" spans="2:13" x14ac:dyDescent="0.2">
      <c r="B32" s="153"/>
      <c r="C32" s="159"/>
      <c r="D32" s="159" t="s">
        <v>168</v>
      </c>
      <c r="E32" s="155" t="s">
        <v>211</v>
      </c>
      <c r="F32" s="154"/>
      <c r="G32" s="157"/>
      <c r="H32" s="157"/>
      <c r="I32" s="157" t="s">
        <v>281</v>
      </c>
      <c r="J32" s="158">
        <f>I33+I38</f>
        <v>27510</v>
      </c>
      <c r="K32" s="157"/>
    </row>
    <row r="33" spans="2:13" x14ac:dyDescent="0.2">
      <c r="B33" s="153"/>
      <c r="C33" s="159"/>
      <c r="D33" s="154"/>
      <c r="E33" s="155" t="s">
        <v>212</v>
      </c>
      <c r="F33" s="154"/>
      <c r="G33" s="157"/>
      <c r="H33" s="157"/>
      <c r="I33" s="158">
        <f>SUM(I34:I37)</f>
        <v>9660</v>
      </c>
      <c r="J33" s="157"/>
      <c r="K33" s="157"/>
      <c r="L33" s="2" t="s">
        <v>281</v>
      </c>
    </row>
    <row r="34" spans="2:13" x14ac:dyDescent="0.2">
      <c r="B34" s="153"/>
      <c r="C34" s="159"/>
      <c r="D34" s="154"/>
      <c r="E34" s="160" t="s">
        <v>213</v>
      </c>
      <c r="F34" s="154" t="s">
        <v>279</v>
      </c>
      <c r="G34" s="157">
        <v>21</v>
      </c>
      <c r="H34" s="157">
        <v>100</v>
      </c>
      <c r="I34" s="157">
        <f t="shared" si="0"/>
        <v>2100</v>
      </c>
      <c r="J34" s="157"/>
      <c r="K34" s="157"/>
    </row>
    <row r="35" spans="2:13" x14ac:dyDescent="0.2">
      <c r="B35" s="153"/>
      <c r="C35" s="159"/>
      <c r="D35" s="154"/>
      <c r="E35" s="160" t="s">
        <v>214</v>
      </c>
      <c r="F35" s="154" t="s">
        <v>279</v>
      </c>
      <c r="G35" s="157">
        <v>21</v>
      </c>
      <c r="H35" s="157">
        <v>200</v>
      </c>
      <c r="I35" s="157">
        <f t="shared" si="0"/>
        <v>4200</v>
      </c>
      <c r="J35" s="157"/>
      <c r="K35" s="157"/>
    </row>
    <row r="36" spans="2:13" x14ac:dyDescent="0.2">
      <c r="B36" s="153"/>
      <c r="C36" s="159"/>
      <c r="D36" s="154"/>
      <c r="E36" s="160" t="s">
        <v>215</v>
      </c>
      <c r="F36" s="154" t="s">
        <v>279</v>
      </c>
      <c r="G36" s="157">
        <v>21</v>
      </c>
      <c r="H36" s="157">
        <v>70</v>
      </c>
      <c r="I36" s="157">
        <f t="shared" si="0"/>
        <v>1470</v>
      </c>
      <c r="J36" s="157"/>
      <c r="K36" s="157"/>
      <c r="M36" s="180"/>
    </row>
    <row r="37" spans="2:13" x14ac:dyDescent="0.2">
      <c r="B37" s="153"/>
      <c r="C37" s="159"/>
      <c r="D37" s="154"/>
      <c r="E37" s="160" t="s">
        <v>216</v>
      </c>
      <c r="F37" s="154" t="s">
        <v>279</v>
      </c>
      <c r="G37" s="157">
        <v>21</v>
      </c>
      <c r="H37" s="157">
        <v>90</v>
      </c>
      <c r="I37" s="157">
        <f t="shared" si="0"/>
        <v>1890</v>
      </c>
      <c r="J37" s="157"/>
      <c r="K37" s="157"/>
    </row>
    <row r="38" spans="2:13" x14ac:dyDescent="0.2">
      <c r="B38" s="153"/>
      <c r="C38" s="159"/>
      <c r="D38" s="154"/>
      <c r="E38" s="155" t="s">
        <v>217</v>
      </c>
      <c r="F38" s="154"/>
      <c r="G38" s="157"/>
      <c r="H38" s="157"/>
      <c r="I38" s="158">
        <f>SUM(I39:I40)</f>
        <v>17850</v>
      </c>
      <c r="J38" s="157" t="s">
        <v>281</v>
      </c>
      <c r="K38" s="157"/>
    </row>
    <row r="39" spans="2:13" x14ac:dyDescent="0.2">
      <c r="B39" s="153"/>
      <c r="C39" s="159"/>
      <c r="D39" s="154"/>
      <c r="E39" s="160" t="s">
        <v>218</v>
      </c>
      <c r="F39" s="154" t="s">
        <v>279</v>
      </c>
      <c r="G39" s="157">
        <v>21</v>
      </c>
      <c r="H39" s="157">
        <v>250</v>
      </c>
      <c r="I39" s="157">
        <f t="shared" si="0"/>
        <v>5250</v>
      </c>
      <c r="J39" s="157"/>
      <c r="K39" s="157"/>
      <c r="L39" s="2" t="s">
        <v>281</v>
      </c>
    </row>
    <row r="40" spans="2:13" x14ac:dyDescent="0.2">
      <c r="B40" s="153"/>
      <c r="C40" s="159"/>
      <c r="D40" s="154"/>
      <c r="E40" s="160" t="s">
        <v>219</v>
      </c>
      <c r="F40" s="154" t="s">
        <v>279</v>
      </c>
      <c r="G40" s="157">
        <v>21</v>
      </c>
      <c r="H40" s="157">
        <v>600</v>
      </c>
      <c r="I40" s="157">
        <f t="shared" si="0"/>
        <v>12600</v>
      </c>
      <c r="J40" s="157"/>
      <c r="K40" s="157"/>
      <c r="L40" s="2" t="s">
        <v>281</v>
      </c>
    </row>
    <row r="41" spans="2:13" x14ac:dyDescent="0.2">
      <c r="B41" s="153"/>
      <c r="C41" s="159"/>
      <c r="D41" s="154"/>
      <c r="E41" s="156"/>
      <c r="F41" s="154"/>
      <c r="G41" s="157"/>
      <c r="H41" s="157"/>
      <c r="I41" s="157" t="s">
        <v>281</v>
      </c>
      <c r="J41" s="157"/>
      <c r="K41" s="157"/>
    </row>
    <row r="42" spans="2:13" x14ac:dyDescent="0.2">
      <c r="B42" s="153"/>
      <c r="C42" s="159">
        <v>6.2</v>
      </c>
      <c r="D42" s="154"/>
      <c r="E42" s="155" t="s">
        <v>220</v>
      </c>
      <c r="F42" s="154"/>
      <c r="G42" s="157"/>
      <c r="H42" s="157"/>
      <c r="I42" s="157" t="s">
        <v>281</v>
      </c>
      <c r="J42" s="157" t="s">
        <v>281</v>
      </c>
      <c r="K42" s="201">
        <f>SUM(J44:J83)</f>
        <v>50000</v>
      </c>
    </row>
    <row r="43" spans="2:13" x14ac:dyDescent="0.2">
      <c r="B43" s="153"/>
      <c r="C43" s="159"/>
      <c r="D43" s="154"/>
      <c r="E43" s="156"/>
      <c r="F43" s="154"/>
      <c r="G43" s="157"/>
      <c r="H43" s="157"/>
      <c r="I43" s="157" t="s">
        <v>281</v>
      </c>
      <c r="J43" s="157"/>
      <c r="K43" s="157"/>
    </row>
    <row r="44" spans="2:13" x14ac:dyDescent="0.2">
      <c r="B44" s="153"/>
      <c r="C44" s="159"/>
      <c r="D44" s="159" t="s">
        <v>179</v>
      </c>
      <c r="E44" s="155" t="s">
        <v>221</v>
      </c>
      <c r="F44" s="154"/>
      <c r="G44" s="157"/>
      <c r="H44" s="157"/>
      <c r="I44" s="157" t="s">
        <v>281</v>
      </c>
      <c r="J44" s="158">
        <f>SUM(I45:I50)</f>
        <v>10610</v>
      </c>
      <c r="K44" s="157"/>
    </row>
    <row r="45" spans="2:13" x14ac:dyDescent="0.2">
      <c r="B45" s="153"/>
      <c r="C45" s="159"/>
      <c r="D45" s="154"/>
      <c r="E45" s="156" t="s">
        <v>222</v>
      </c>
      <c r="F45" s="154" t="s">
        <v>280</v>
      </c>
      <c r="G45" s="157">
        <v>1</v>
      </c>
      <c r="H45" s="157">
        <v>1200</v>
      </c>
      <c r="I45" s="157">
        <f t="shared" si="0"/>
        <v>1200</v>
      </c>
      <c r="J45" s="157"/>
      <c r="K45" s="157"/>
    </row>
    <row r="46" spans="2:13" x14ac:dyDescent="0.2">
      <c r="B46" s="153"/>
      <c r="C46" s="159"/>
      <c r="D46" s="154"/>
      <c r="E46" s="156" t="s">
        <v>223</v>
      </c>
      <c r="F46" s="154" t="s">
        <v>280</v>
      </c>
      <c r="G46" s="157">
        <v>1</v>
      </c>
      <c r="H46" s="157">
        <v>1500</v>
      </c>
      <c r="I46" s="157">
        <f t="shared" si="0"/>
        <v>1500</v>
      </c>
      <c r="J46" s="157"/>
      <c r="K46" s="157"/>
      <c r="M46" s="2"/>
    </row>
    <row r="47" spans="2:13" x14ac:dyDescent="0.2">
      <c r="B47" s="153"/>
      <c r="C47" s="159"/>
      <c r="D47" s="154"/>
      <c r="E47" s="156" t="s">
        <v>224</v>
      </c>
      <c r="F47" s="154" t="s">
        <v>344</v>
      </c>
      <c r="G47" s="157">
        <v>3</v>
      </c>
      <c r="H47" s="157">
        <v>1000</v>
      </c>
      <c r="I47" s="157">
        <f t="shared" si="0"/>
        <v>3000</v>
      </c>
      <c r="J47" s="157"/>
      <c r="K47" s="157"/>
    </row>
    <row r="48" spans="2:13" x14ac:dyDescent="0.2">
      <c r="B48" s="153"/>
      <c r="C48" s="159"/>
      <c r="D48" s="154"/>
      <c r="E48" s="156" t="s">
        <v>225</v>
      </c>
      <c r="F48" s="154" t="s">
        <v>344</v>
      </c>
      <c r="G48" s="157">
        <v>4</v>
      </c>
      <c r="H48" s="157">
        <v>800</v>
      </c>
      <c r="I48" s="157">
        <f t="shared" si="0"/>
        <v>3200</v>
      </c>
      <c r="J48" s="157" t="s">
        <v>281</v>
      </c>
      <c r="K48" s="157"/>
    </row>
    <row r="49" spans="2:12" x14ac:dyDescent="0.2">
      <c r="B49" s="153"/>
      <c r="C49" s="159"/>
      <c r="D49" s="154"/>
      <c r="E49" s="156" t="s">
        <v>226</v>
      </c>
      <c r="F49" s="154" t="s">
        <v>280</v>
      </c>
      <c r="G49" s="157">
        <v>1</v>
      </c>
      <c r="H49" s="157">
        <v>500</v>
      </c>
      <c r="I49" s="157">
        <f t="shared" si="0"/>
        <v>500</v>
      </c>
      <c r="J49" s="157"/>
      <c r="K49" s="157"/>
    </row>
    <row r="50" spans="2:12" x14ac:dyDescent="0.2">
      <c r="B50" s="153"/>
      <c r="C50" s="159"/>
      <c r="D50" s="154"/>
      <c r="E50" s="156" t="s">
        <v>349</v>
      </c>
      <c r="F50" s="154" t="s">
        <v>280</v>
      </c>
      <c r="G50" s="157">
        <v>1</v>
      </c>
      <c r="H50" s="157">
        <v>1210</v>
      </c>
      <c r="I50" s="157">
        <f t="shared" si="0"/>
        <v>1210</v>
      </c>
      <c r="J50" s="157"/>
      <c r="K50" s="157"/>
    </row>
    <row r="51" spans="2:12" x14ac:dyDescent="0.2">
      <c r="B51" s="153"/>
      <c r="C51" s="159"/>
      <c r="D51" s="154"/>
      <c r="E51" s="156"/>
      <c r="F51" s="154"/>
      <c r="G51" s="157"/>
      <c r="H51" s="157"/>
      <c r="I51" s="157"/>
      <c r="J51" s="157"/>
      <c r="K51" s="157"/>
    </row>
    <row r="52" spans="2:12" x14ac:dyDescent="0.2">
      <c r="B52" s="153"/>
      <c r="C52" s="159"/>
      <c r="D52" s="159" t="s">
        <v>181</v>
      </c>
      <c r="E52" s="155" t="s">
        <v>227</v>
      </c>
      <c r="F52" s="154"/>
      <c r="G52" s="157"/>
      <c r="H52" s="157"/>
      <c r="I52" s="157" t="s">
        <v>281</v>
      </c>
      <c r="J52" s="158">
        <f>SUM(I53:I56)</f>
        <v>6890</v>
      </c>
      <c r="K52" s="157"/>
    </row>
    <row r="53" spans="2:12" x14ac:dyDescent="0.2">
      <c r="B53" s="153"/>
      <c r="C53" s="159"/>
      <c r="D53" s="154"/>
      <c r="E53" s="156" t="s">
        <v>228</v>
      </c>
      <c r="F53" s="154" t="s">
        <v>302</v>
      </c>
      <c r="G53" s="157">
        <v>1</v>
      </c>
      <c r="H53" s="157">
        <v>1500</v>
      </c>
      <c r="I53" s="157">
        <f t="shared" si="0"/>
        <v>1500</v>
      </c>
      <c r="J53" s="157"/>
      <c r="K53" s="157"/>
    </row>
    <row r="54" spans="2:12" x14ac:dyDescent="0.2">
      <c r="B54" s="153"/>
      <c r="C54" s="159"/>
      <c r="D54" s="154"/>
      <c r="E54" s="156" t="s">
        <v>229</v>
      </c>
      <c r="F54" s="154" t="s">
        <v>302</v>
      </c>
      <c r="G54" s="157">
        <v>1</v>
      </c>
      <c r="H54" s="157">
        <f>5000-1210</f>
        <v>3790</v>
      </c>
      <c r="I54" s="157">
        <f t="shared" si="0"/>
        <v>3790</v>
      </c>
      <c r="J54" s="157"/>
      <c r="K54" s="157"/>
    </row>
    <row r="55" spans="2:12" x14ac:dyDescent="0.2">
      <c r="B55" s="153"/>
      <c r="C55" s="159"/>
      <c r="D55" s="154"/>
      <c r="E55" s="156" t="s">
        <v>230</v>
      </c>
      <c r="F55" s="154" t="s">
        <v>302</v>
      </c>
      <c r="G55" s="157">
        <v>1</v>
      </c>
      <c r="H55" s="157">
        <v>1000</v>
      </c>
      <c r="I55" s="157">
        <f t="shared" si="0"/>
        <v>1000</v>
      </c>
      <c r="J55" s="157"/>
      <c r="K55" s="157"/>
    </row>
    <row r="56" spans="2:12" x14ac:dyDescent="0.2">
      <c r="B56" s="153"/>
      <c r="C56" s="159"/>
      <c r="D56" s="154"/>
      <c r="E56" s="156" t="s">
        <v>231</v>
      </c>
      <c r="F56" s="154" t="s">
        <v>302</v>
      </c>
      <c r="G56" s="157">
        <v>2</v>
      </c>
      <c r="H56" s="157">
        <v>300</v>
      </c>
      <c r="I56" s="157">
        <f t="shared" si="0"/>
        <v>600</v>
      </c>
      <c r="J56" s="157"/>
      <c r="K56" s="157"/>
    </row>
    <row r="57" spans="2:12" x14ac:dyDescent="0.2">
      <c r="B57" s="153"/>
      <c r="C57" s="159"/>
      <c r="D57" s="154"/>
      <c r="E57" s="156"/>
      <c r="F57" s="154"/>
      <c r="G57" s="157"/>
      <c r="H57" s="157"/>
      <c r="I57" s="157" t="s">
        <v>281</v>
      </c>
      <c r="J57" s="157"/>
      <c r="K57" s="157"/>
    </row>
    <row r="58" spans="2:12" x14ac:dyDescent="0.2">
      <c r="B58" s="153"/>
      <c r="C58" s="159"/>
      <c r="D58" s="159" t="s">
        <v>331</v>
      </c>
      <c r="E58" s="155" t="s">
        <v>232</v>
      </c>
      <c r="F58" s="154"/>
      <c r="G58" s="157"/>
      <c r="H58" s="157"/>
      <c r="I58" s="157" t="s">
        <v>281</v>
      </c>
      <c r="J58" s="158">
        <f>SUM(I59:I61)</f>
        <v>18000</v>
      </c>
      <c r="L58" s="158">
        <f>SUM(J58,J63)</f>
        <v>19800</v>
      </c>
    </row>
    <row r="59" spans="2:12" x14ac:dyDescent="0.2">
      <c r="B59" s="153"/>
      <c r="C59" s="159"/>
      <c r="D59" s="154"/>
      <c r="E59" s="156" t="s">
        <v>350</v>
      </c>
      <c r="F59" s="154" t="s">
        <v>280</v>
      </c>
      <c r="G59" s="157">
        <v>1</v>
      </c>
      <c r="H59" s="157">
        <v>9000</v>
      </c>
      <c r="I59" s="157">
        <f t="shared" si="0"/>
        <v>9000</v>
      </c>
      <c r="J59" s="157"/>
      <c r="K59" s="157"/>
    </row>
    <row r="60" spans="2:12" x14ac:dyDescent="0.2">
      <c r="B60" s="153"/>
      <c r="C60" s="159"/>
      <c r="D60" s="154"/>
      <c r="E60" s="156" t="s">
        <v>351</v>
      </c>
      <c r="F60" s="154" t="s">
        <v>280</v>
      </c>
      <c r="G60" s="157">
        <v>1</v>
      </c>
      <c r="H60" s="157">
        <v>6000</v>
      </c>
      <c r="I60" s="157">
        <f t="shared" si="0"/>
        <v>6000</v>
      </c>
      <c r="J60" s="157"/>
      <c r="K60" s="157"/>
    </row>
    <row r="61" spans="2:12" x14ac:dyDescent="0.2">
      <c r="B61" s="153"/>
      <c r="C61" s="159"/>
      <c r="D61" s="154"/>
      <c r="E61" s="156" t="s">
        <v>233</v>
      </c>
      <c r="F61" s="154" t="s">
        <v>280</v>
      </c>
      <c r="G61" s="157">
        <v>1</v>
      </c>
      <c r="H61" s="157">
        <v>3000</v>
      </c>
      <c r="I61" s="157">
        <f t="shared" si="0"/>
        <v>3000</v>
      </c>
      <c r="J61" s="157"/>
      <c r="K61" s="157"/>
    </row>
    <row r="62" spans="2:12" x14ac:dyDescent="0.2">
      <c r="B62" s="153"/>
      <c r="C62" s="159"/>
      <c r="D62" s="154"/>
      <c r="E62" s="156"/>
      <c r="F62" s="154"/>
      <c r="G62" s="157"/>
      <c r="H62" s="157"/>
      <c r="I62" s="157" t="s">
        <v>281</v>
      </c>
      <c r="J62" s="157"/>
      <c r="K62" s="157"/>
    </row>
    <row r="63" spans="2:12" x14ac:dyDescent="0.2">
      <c r="B63" s="153"/>
      <c r="C63" s="159"/>
      <c r="D63" s="154"/>
      <c r="E63" s="155" t="s">
        <v>234</v>
      </c>
      <c r="F63" s="154"/>
      <c r="G63" s="157"/>
      <c r="H63" s="157"/>
      <c r="I63" s="157" t="s">
        <v>281</v>
      </c>
      <c r="J63" s="158">
        <f>SUM(I64:I65)</f>
        <v>1800</v>
      </c>
      <c r="K63" s="157"/>
    </row>
    <row r="64" spans="2:12" x14ac:dyDescent="0.2">
      <c r="B64" s="153"/>
      <c r="C64" s="159"/>
      <c r="D64" s="154"/>
      <c r="E64" s="156" t="s">
        <v>235</v>
      </c>
      <c r="F64" s="154" t="s">
        <v>344</v>
      </c>
      <c r="G64" s="157">
        <v>3</v>
      </c>
      <c r="H64" s="157">
        <v>500</v>
      </c>
      <c r="I64" s="157">
        <f t="shared" si="0"/>
        <v>1500</v>
      </c>
      <c r="J64" s="157"/>
      <c r="K64" s="157"/>
    </row>
    <row r="65" spans="2:12" x14ac:dyDescent="0.2">
      <c r="B65" s="153"/>
      <c r="C65" s="159"/>
      <c r="D65" s="154"/>
      <c r="E65" s="156" t="s">
        <v>236</v>
      </c>
      <c r="F65" s="154" t="s">
        <v>344</v>
      </c>
      <c r="G65" s="157">
        <v>3</v>
      </c>
      <c r="H65" s="157">
        <v>100</v>
      </c>
      <c r="I65" s="157">
        <f t="shared" si="0"/>
        <v>300</v>
      </c>
      <c r="J65" s="157"/>
      <c r="K65" s="157"/>
    </row>
    <row r="66" spans="2:12" x14ac:dyDescent="0.2">
      <c r="B66" s="153"/>
      <c r="C66" s="159"/>
      <c r="D66" s="154"/>
      <c r="E66" s="156"/>
      <c r="F66" s="154"/>
      <c r="G66" s="157"/>
      <c r="H66" s="157"/>
      <c r="I66" s="157" t="s">
        <v>281</v>
      </c>
      <c r="J66" s="157"/>
      <c r="K66" s="157"/>
    </row>
    <row r="67" spans="2:12" x14ac:dyDescent="0.2">
      <c r="B67" s="153"/>
      <c r="C67" s="159"/>
      <c r="D67" s="159" t="s">
        <v>332</v>
      </c>
      <c r="E67" s="155" t="s">
        <v>237</v>
      </c>
      <c r="F67" s="154"/>
      <c r="G67" s="157"/>
      <c r="H67" s="157"/>
      <c r="I67" s="157" t="s">
        <v>281</v>
      </c>
      <c r="J67" s="158">
        <f>SUM(I68:I69)</f>
        <v>1500</v>
      </c>
      <c r="L67" s="158">
        <f>SUM(J67,J71,J74)</f>
        <v>7900</v>
      </c>
    </row>
    <row r="68" spans="2:12" x14ac:dyDescent="0.2">
      <c r="B68" s="153"/>
      <c r="C68" s="159"/>
      <c r="D68" s="154"/>
      <c r="E68" s="156" t="s">
        <v>238</v>
      </c>
      <c r="F68" s="154" t="s">
        <v>302</v>
      </c>
      <c r="G68" s="157">
        <v>2</v>
      </c>
      <c r="H68" s="157">
        <v>600</v>
      </c>
      <c r="I68" s="157">
        <f t="shared" si="0"/>
        <v>1200</v>
      </c>
      <c r="J68" s="157"/>
      <c r="K68" s="157"/>
    </row>
    <row r="69" spans="2:12" x14ac:dyDescent="0.2">
      <c r="B69" s="153"/>
      <c r="C69" s="159"/>
      <c r="D69" s="154"/>
      <c r="E69" s="156" t="s">
        <v>239</v>
      </c>
      <c r="F69" s="154" t="s">
        <v>302</v>
      </c>
      <c r="G69" s="157">
        <v>1</v>
      </c>
      <c r="H69" s="157">
        <v>300</v>
      </c>
      <c r="I69" s="157">
        <f t="shared" si="0"/>
        <v>300</v>
      </c>
      <c r="J69" s="157"/>
      <c r="K69" s="157"/>
    </row>
    <row r="70" spans="2:12" x14ac:dyDescent="0.2">
      <c r="B70" s="153"/>
      <c r="C70" s="159"/>
      <c r="D70" s="154"/>
      <c r="E70" s="156"/>
      <c r="F70" s="154"/>
      <c r="G70" s="157"/>
      <c r="H70" s="157"/>
      <c r="I70" s="157" t="s">
        <v>281</v>
      </c>
      <c r="J70" s="157"/>
      <c r="K70" s="157"/>
    </row>
    <row r="71" spans="2:12" x14ac:dyDescent="0.2">
      <c r="B71" s="153"/>
      <c r="C71" s="159"/>
      <c r="D71" s="154"/>
      <c r="E71" s="155" t="s">
        <v>240</v>
      </c>
      <c r="F71" s="154"/>
      <c r="G71" s="157"/>
      <c r="H71" s="157"/>
      <c r="I71" s="157" t="s">
        <v>281</v>
      </c>
      <c r="J71" s="158">
        <f>I72</f>
        <v>5000</v>
      </c>
      <c r="K71" s="157"/>
    </row>
    <row r="72" spans="2:12" x14ac:dyDescent="0.2">
      <c r="B72" s="153"/>
      <c r="C72" s="159"/>
      <c r="D72" s="154"/>
      <c r="E72" s="156" t="s">
        <v>241</v>
      </c>
      <c r="F72" s="154" t="s">
        <v>280</v>
      </c>
      <c r="G72" s="157">
        <v>1</v>
      </c>
      <c r="H72" s="157">
        <v>5000</v>
      </c>
      <c r="I72" s="157">
        <f t="shared" si="0"/>
        <v>5000</v>
      </c>
      <c r="J72" s="157"/>
      <c r="K72" s="157"/>
    </row>
    <row r="73" spans="2:12" x14ac:dyDescent="0.2">
      <c r="B73" s="153"/>
      <c r="C73" s="159"/>
      <c r="D73" s="154"/>
      <c r="E73" s="156"/>
      <c r="F73" s="154"/>
      <c r="G73" s="157"/>
      <c r="H73" s="157"/>
      <c r="I73" s="157" t="s">
        <v>281</v>
      </c>
      <c r="J73" s="157"/>
      <c r="K73" s="157"/>
    </row>
    <row r="74" spans="2:12" x14ac:dyDescent="0.2">
      <c r="B74" s="153"/>
      <c r="C74" s="159"/>
      <c r="D74" s="154"/>
      <c r="E74" s="155" t="s">
        <v>248</v>
      </c>
      <c r="F74" s="154"/>
      <c r="G74" s="157"/>
      <c r="H74" s="157"/>
      <c r="I74" s="157" t="s">
        <v>281</v>
      </c>
      <c r="J74" s="158">
        <f>SUM(I75:I77)</f>
        <v>1400</v>
      </c>
      <c r="K74" s="157"/>
    </row>
    <row r="75" spans="2:12" x14ac:dyDescent="0.2">
      <c r="B75" s="153"/>
      <c r="C75" s="159"/>
      <c r="D75" s="154"/>
      <c r="E75" s="156" t="s">
        <v>249</v>
      </c>
      <c r="F75" s="154" t="s">
        <v>280</v>
      </c>
      <c r="G75" s="157">
        <v>1</v>
      </c>
      <c r="H75" s="157">
        <v>600</v>
      </c>
      <c r="I75" s="157">
        <f t="shared" si="0"/>
        <v>600</v>
      </c>
      <c r="J75" s="157"/>
      <c r="K75" s="157"/>
    </row>
    <row r="76" spans="2:12" x14ac:dyDescent="0.2">
      <c r="B76" s="153"/>
      <c r="C76" s="159"/>
      <c r="D76" s="154"/>
      <c r="E76" s="156" t="s">
        <v>250</v>
      </c>
      <c r="F76" s="154" t="s">
        <v>302</v>
      </c>
      <c r="G76" s="157">
        <v>1</v>
      </c>
      <c r="H76" s="157">
        <v>300</v>
      </c>
      <c r="I76" s="157">
        <f t="shared" si="0"/>
        <v>300</v>
      </c>
      <c r="J76" s="157"/>
      <c r="K76" s="157"/>
    </row>
    <row r="77" spans="2:12" x14ac:dyDescent="0.2">
      <c r="B77" s="153"/>
      <c r="C77" s="159"/>
      <c r="D77" s="154"/>
      <c r="E77" s="156" t="s">
        <v>251</v>
      </c>
      <c r="F77" s="154" t="s">
        <v>302</v>
      </c>
      <c r="G77" s="157">
        <v>1</v>
      </c>
      <c r="H77" s="157">
        <v>500</v>
      </c>
      <c r="I77" s="157">
        <f t="shared" si="0"/>
        <v>500</v>
      </c>
      <c r="J77" s="157"/>
      <c r="K77" s="157"/>
    </row>
    <row r="78" spans="2:12" x14ac:dyDescent="0.2">
      <c r="B78" s="153"/>
      <c r="C78" s="159"/>
      <c r="D78" s="154"/>
      <c r="E78" s="156"/>
      <c r="F78" s="154"/>
      <c r="G78" s="157"/>
      <c r="H78" s="157"/>
      <c r="I78" s="157" t="s">
        <v>281</v>
      </c>
      <c r="J78" s="157"/>
      <c r="K78" s="157"/>
    </row>
    <row r="79" spans="2:12" x14ac:dyDescent="0.2">
      <c r="B79" s="153"/>
      <c r="C79" s="159"/>
      <c r="D79" s="159" t="s">
        <v>333</v>
      </c>
      <c r="E79" s="155" t="s">
        <v>242</v>
      </c>
      <c r="F79" s="154"/>
      <c r="G79" s="157"/>
      <c r="H79" s="157"/>
      <c r="I79" s="157" t="s">
        <v>281</v>
      </c>
      <c r="J79" s="158">
        <f>SUM(I80:I81)</f>
        <v>800</v>
      </c>
      <c r="K79" s="157"/>
    </row>
    <row r="80" spans="2:12" x14ac:dyDescent="0.2">
      <c r="B80" s="153"/>
      <c r="C80" s="159"/>
      <c r="D80" s="154"/>
      <c r="E80" s="156" t="s">
        <v>243</v>
      </c>
      <c r="F80" s="154" t="s">
        <v>302</v>
      </c>
      <c r="G80" s="157">
        <v>1</v>
      </c>
      <c r="H80" s="157">
        <v>500</v>
      </c>
      <c r="I80" s="157">
        <f t="shared" si="0"/>
        <v>500</v>
      </c>
      <c r="J80" s="157"/>
      <c r="K80" s="157"/>
    </row>
    <row r="81" spans="2:11" x14ac:dyDescent="0.2">
      <c r="B81" s="153"/>
      <c r="C81" s="159"/>
      <c r="D81" s="154"/>
      <c r="E81" s="156" t="s">
        <v>244</v>
      </c>
      <c r="F81" s="154" t="s">
        <v>302</v>
      </c>
      <c r="G81" s="157">
        <v>3</v>
      </c>
      <c r="H81" s="157">
        <v>100</v>
      </c>
      <c r="I81" s="157">
        <f t="shared" si="0"/>
        <v>300</v>
      </c>
      <c r="J81" s="157"/>
      <c r="K81" s="157"/>
    </row>
    <row r="82" spans="2:11" x14ac:dyDescent="0.2">
      <c r="B82" s="153"/>
      <c r="C82" s="159"/>
      <c r="D82" s="154"/>
      <c r="E82" s="156"/>
      <c r="F82" s="154"/>
      <c r="G82" s="157"/>
      <c r="H82" s="157"/>
      <c r="I82" s="157" t="s">
        <v>281</v>
      </c>
      <c r="J82" s="157"/>
      <c r="K82" s="157"/>
    </row>
    <row r="83" spans="2:11" x14ac:dyDescent="0.2">
      <c r="B83" s="153"/>
      <c r="C83" s="159"/>
      <c r="D83" s="159" t="s">
        <v>334</v>
      </c>
      <c r="E83" s="155" t="s">
        <v>245</v>
      </c>
      <c r="F83" s="154"/>
      <c r="G83" s="157"/>
      <c r="H83" s="157"/>
      <c r="I83" s="157" t="s">
        <v>281</v>
      </c>
      <c r="J83" s="158">
        <f>SUM(I84:I85)</f>
        <v>4000</v>
      </c>
      <c r="K83" s="157"/>
    </row>
    <row r="84" spans="2:11" x14ac:dyDescent="0.2">
      <c r="B84" s="153"/>
      <c r="C84" s="159"/>
      <c r="D84" s="154"/>
      <c r="E84" s="156" t="s">
        <v>246</v>
      </c>
      <c r="F84" s="154" t="s">
        <v>302</v>
      </c>
      <c r="G84" s="157">
        <v>2</v>
      </c>
      <c r="H84" s="157">
        <v>500</v>
      </c>
      <c r="I84" s="157">
        <f t="shared" si="0"/>
        <v>1000</v>
      </c>
      <c r="J84" s="157"/>
      <c r="K84" s="157"/>
    </row>
    <row r="85" spans="2:11" x14ac:dyDescent="0.2">
      <c r="B85" s="153"/>
      <c r="C85" s="159"/>
      <c r="D85" s="154"/>
      <c r="E85" s="156" t="s">
        <v>247</v>
      </c>
      <c r="F85" s="154" t="s">
        <v>302</v>
      </c>
      <c r="G85" s="157">
        <v>6</v>
      </c>
      <c r="H85" s="157">
        <v>500</v>
      </c>
      <c r="I85" s="157">
        <f t="shared" si="0"/>
        <v>3000</v>
      </c>
      <c r="J85" s="157"/>
      <c r="K85" s="157"/>
    </row>
    <row r="86" spans="2:11" x14ac:dyDescent="0.2">
      <c r="B86" s="153"/>
      <c r="C86" s="159"/>
      <c r="D86" s="154"/>
      <c r="E86" s="156"/>
      <c r="F86" s="154"/>
      <c r="G86" s="157"/>
      <c r="H86" s="157"/>
      <c r="I86" s="157" t="s">
        <v>281</v>
      </c>
      <c r="J86" s="157"/>
      <c r="K86" s="157"/>
    </row>
    <row r="87" spans="2:11" x14ac:dyDescent="0.2">
      <c r="B87" s="153"/>
      <c r="C87" s="159">
        <v>6.3</v>
      </c>
      <c r="D87" s="154"/>
      <c r="E87" s="155" t="s">
        <v>256</v>
      </c>
      <c r="F87" s="154"/>
      <c r="G87" s="157"/>
      <c r="H87" s="157"/>
      <c r="I87" s="157" t="s">
        <v>281</v>
      </c>
      <c r="J87" s="157">
        <v>34200</v>
      </c>
      <c r="K87" s="201">
        <f>SUM(J89:J93)</f>
        <v>34800</v>
      </c>
    </row>
    <row r="88" spans="2:11" x14ac:dyDescent="0.2">
      <c r="B88" s="153"/>
      <c r="C88" s="159"/>
      <c r="D88" s="154"/>
      <c r="E88" s="156"/>
      <c r="F88" s="154"/>
      <c r="G88" s="157"/>
      <c r="H88" s="157"/>
      <c r="I88" s="157" t="s">
        <v>281</v>
      </c>
      <c r="J88" s="157"/>
      <c r="K88" s="157"/>
    </row>
    <row r="89" spans="2:11" x14ac:dyDescent="0.2">
      <c r="B89" s="153"/>
      <c r="C89" s="159"/>
      <c r="D89" s="159" t="s">
        <v>184</v>
      </c>
      <c r="E89" s="155" t="s">
        <v>232</v>
      </c>
      <c r="F89" s="154"/>
      <c r="G89" s="157"/>
      <c r="H89" s="157"/>
      <c r="I89" s="157" t="s">
        <v>281</v>
      </c>
      <c r="J89" s="158">
        <v>33000</v>
      </c>
      <c r="K89" s="157"/>
    </row>
    <row r="90" spans="2:11" x14ac:dyDescent="0.2">
      <c r="B90" s="153"/>
      <c r="C90" s="159"/>
      <c r="D90" s="154"/>
      <c r="E90" s="156" t="s">
        <v>257</v>
      </c>
      <c r="F90" s="154" t="s">
        <v>279</v>
      </c>
      <c r="G90" s="157">
        <v>10</v>
      </c>
      <c r="H90" s="157">
        <v>3000</v>
      </c>
      <c r="I90" s="157">
        <f>H90*G90</f>
        <v>30000</v>
      </c>
      <c r="J90" s="157"/>
      <c r="K90" s="157"/>
    </row>
    <row r="91" spans="2:11" x14ac:dyDescent="0.2">
      <c r="B91" s="153"/>
      <c r="C91" s="159"/>
      <c r="D91" s="154"/>
      <c r="E91" s="156" t="s">
        <v>252</v>
      </c>
      <c r="F91" s="154" t="s">
        <v>279</v>
      </c>
      <c r="G91" s="157">
        <v>6</v>
      </c>
      <c r="H91" s="157">
        <v>500</v>
      </c>
      <c r="I91" s="157">
        <f>H91*G91</f>
        <v>3000</v>
      </c>
      <c r="J91" s="157"/>
      <c r="K91" s="157"/>
    </row>
    <row r="92" spans="2:11" x14ac:dyDescent="0.2">
      <c r="B92" s="153"/>
      <c r="C92" s="159"/>
      <c r="D92" s="154"/>
      <c r="E92" s="156"/>
      <c r="F92" s="154"/>
      <c r="G92" s="157"/>
      <c r="H92" s="157"/>
      <c r="I92" s="157" t="s">
        <v>281</v>
      </c>
      <c r="J92" s="157"/>
      <c r="K92" s="157"/>
    </row>
    <row r="93" spans="2:11" x14ac:dyDescent="0.2">
      <c r="B93" s="153"/>
      <c r="C93" s="159"/>
      <c r="D93" s="159" t="s">
        <v>186</v>
      </c>
      <c r="E93" s="155" t="s">
        <v>237</v>
      </c>
      <c r="F93" s="154"/>
      <c r="G93" s="157"/>
      <c r="H93" s="157"/>
      <c r="I93" s="157" t="s">
        <v>281</v>
      </c>
      <c r="J93" s="158">
        <f>SUM(I94:I95)</f>
        <v>1800</v>
      </c>
      <c r="K93" s="157"/>
    </row>
    <row r="94" spans="2:11" x14ac:dyDescent="0.2">
      <c r="B94" s="153"/>
      <c r="C94" s="159"/>
      <c r="D94" s="159"/>
      <c r="E94" s="156" t="s">
        <v>238</v>
      </c>
      <c r="F94" s="154" t="s">
        <v>302</v>
      </c>
      <c r="G94" s="157">
        <v>2</v>
      </c>
      <c r="H94" s="157">
        <v>600</v>
      </c>
      <c r="I94" s="157">
        <f>H94*G94</f>
        <v>1200</v>
      </c>
      <c r="J94" s="157"/>
      <c r="K94" s="157"/>
    </row>
    <row r="95" spans="2:11" x14ac:dyDescent="0.2">
      <c r="B95" s="153"/>
      <c r="C95" s="159"/>
      <c r="D95" s="159"/>
      <c r="E95" s="156" t="s">
        <v>239</v>
      </c>
      <c r="F95" s="154" t="s">
        <v>302</v>
      </c>
      <c r="G95" s="157">
        <v>1</v>
      </c>
      <c r="H95" s="157">
        <v>600</v>
      </c>
      <c r="I95" s="157">
        <f>H95*G95</f>
        <v>600</v>
      </c>
      <c r="J95" s="157"/>
      <c r="K95" s="157"/>
    </row>
    <row r="96" spans="2:11" x14ac:dyDescent="0.2">
      <c r="B96" s="153"/>
      <c r="C96" s="159"/>
      <c r="D96" s="159"/>
      <c r="E96" s="155"/>
      <c r="F96" s="154"/>
      <c r="G96" s="157"/>
      <c r="H96" s="157"/>
      <c r="I96" s="157" t="s">
        <v>281</v>
      </c>
      <c r="J96" s="157"/>
      <c r="K96" s="157"/>
    </row>
    <row r="97" spans="2:11" x14ac:dyDescent="0.2">
      <c r="B97" s="153"/>
      <c r="C97" s="159">
        <v>6.4</v>
      </c>
      <c r="D97" s="154"/>
      <c r="E97" s="155" t="s">
        <v>253</v>
      </c>
      <c r="F97" s="154"/>
      <c r="G97" s="157"/>
      <c r="H97" s="157"/>
      <c r="I97" s="157" t="s">
        <v>281</v>
      </c>
      <c r="J97" s="157" t="s">
        <v>308</v>
      </c>
      <c r="K97" s="201">
        <f>SUM(J99:J104)</f>
        <v>30200</v>
      </c>
    </row>
    <row r="98" spans="2:11" x14ac:dyDescent="0.2">
      <c r="B98" s="153"/>
      <c r="C98" s="159"/>
      <c r="D98" s="154"/>
      <c r="E98" s="155"/>
      <c r="F98" s="154"/>
      <c r="G98" s="157"/>
      <c r="H98" s="157"/>
      <c r="I98" s="157" t="s">
        <v>281</v>
      </c>
      <c r="J98" s="157"/>
      <c r="K98" s="157"/>
    </row>
    <row r="99" spans="2:11" x14ac:dyDescent="0.2">
      <c r="B99" s="153"/>
      <c r="C99" s="159"/>
      <c r="D99" s="159" t="s">
        <v>335</v>
      </c>
      <c r="E99" s="155" t="s">
        <v>232</v>
      </c>
      <c r="F99" s="154"/>
      <c r="G99" s="157"/>
      <c r="H99" s="157"/>
      <c r="I99" s="157" t="s">
        <v>281</v>
      </c>
      <c r="J99" s="158">
        <f>SUM(I100:I102)</f>
        <v>29000</v>
      </c>
      <c r="K99" s="157"/>
    </row>
    <row r="100" spans="2:11" x14ac:dyDescent="0.2">
      <c r="B100" s="153"/>
      <c r="C100" s="159"/>
      <c r="D100" s="154"/>
      <c r="E100" s="156" t="s">
        <v>254</v>
      </c>
      <c r="F100" s="154" t="s">
        <v>279</v>
      </c>
      <c r="G100" s="157">
        <v>2</v>
      </c>
      <c r="H100" s="157">
        <v>3000</v>
      </c>
      <c r="I100" s="157">
        <f>H100*G100</f>
        <v>6000</v>
      </c>
      <c r="J100" s="157"/>
      <c r="K100" s="157"/>
    </row>
    <row r="101" spans="2:11" x14ac:dyDescent="0.2">
      <c r="B101" s="153"/>
      <c r="C101" s="159"/>
      <c r="D101" s="159"/>
      <c r="E101" s="156" t="s">
        <v>255</v>
      </c>
      <c r="F101" s="154" t="s">
        <v>279</v>
      </c>
      <c r="G101" s="157">
        <v>10</v>
      </c>
      <c r="H101" s="157">
        <v>2000</v>
      </c>
      <c r="I101" s="157">
        <f>H101*G101</f>
        <v>20000</v>
      </c>
      <c r="J101" s="157"/>
      <c r="K101" s="157"/>
    </row>
    <row r="102" spans="2:11" x14ac:dyDescent="0.2">
      <c r="B102" s="153"/>
      <c r="C102" s="159"/>
      <c r="D102" s="154"/>
      <c r="E102" s="156" t="s">
        <v>252</v>
      </c>
      <c r="F102" s="154" t="s">
        <v>279</v>
      </c>
      <c r="G102" s="157">
        <v>5</v>
      </c>
      <c r="H102" s="157">
        <v>600</v>
      </c>
      <c r="I102" s="157">
        <f>H102*G102</f>
        <v>3000</v>
      </c>
      <c r="J102" s="157"/>
      <c r="K102" s="157"/>
    </row>
    <row r="103" spans="2:11" x14ac:dyDescent="0.2">
      <c r="B103" s="153"/>
      <c r="C103" s="159"/>
      <c r="D103" s="154"/>
      <c r="E103" s="156"/>
      <c r="F103" s="154"/>
      <c r="G103" s="157"/>
      <c r="H103" s="157"/>
      <c r="I103" s="157" t="s">
        <v>281</v>
      </c>
      <c r="J103" s="157"/>
      <c r="K103" s="157"/>
    </row>
    <row r="104" spans="2:11" x14ac:dyDescent="0.2">
      <c r="B104" s="153"/>
      <c r="C104" s="159"/>
      <c r="D104" s="159" t="s">
        <v>336</v>
      </c>
      <c r="E104" s="155" t="s">
        <v>237</v>
      </c>
      <c r="F104" s="154" t="s">
        <v>281</v>
      </c>
      <c r="G104" s="157" t="s">
        <v>281</v>
      </c>
      <c r="H104" s="157" t="s">
        <v>281</v>
      </c>
      <c r="I104" s="157" t="s">
        <v>281</v>
      </c>
      <c r="J104" s="158">
        <f>SUM(I105:I106)</f>
        <v>1200</v>
      </c>
      <c r="K104" s="157"/>
    </row>
    <row r="105" spans="2:11" x14ac:dyDescent="0.2">
      <c r="B105" s="153"/>
      <c r="C105" s="159"/>
      <c r="D105" s="154"/>
      <c r="E105" s="156" t="s">
        <v>238</v>
      </c>
      <c r="F105" s="154" t="s">
        <v>302</v>
      </c>
      <c r="G105" s="157">
        <v>2</v>
      </c>
      <c r="H105" s="157">
        <v>400</v>
      </c>
      <c r="I105" s="157">
        <f>H105*G105</f>
        <v>800</v>
      </c>
      <c r="J105" s="157"/>
      <c r="K105" s="157"/>
    </row>
    <row r="106" spans="2:11" x14ac:dyDescent="0.2">
      <c r="B106" s="153"/>
      <c r="C106" s="159"/>
      <c r="D106" s="154"/>
      <c r="E106" s="156" t="s">
        <v>239</v>
      </c>
      <c r="F106" s="154" t="s">
        <v>302</v>
      </c>
      <c r="G106" s="157">
        <v>1</v>
      </c>
      <c r="H106" s="157">
        <v>400</v>
      </c>
      <c r="I106" s="157">
        <f>H106*G106</f>
        <v>400</v>
      </c>
      <c r="J106" s="157"/>
      <c r="K106" s="157"/>
    </row>
    <row r="107" spans="2:11" x14ac:dyDescent="0.2">
      <c r="B107" s="153"/>
      <c r="C107" s="159"/>
      <c r="D107" s="154"/>
      <c r="E107" s="156"/>
      <c r="F107" s="154"/>
      <c r="G107" s="157"/>
      <c r="H107" s="157"/>
      <c r="I107" s="157" t="s">
        <v>281</v>
      </c>
      <c r="J107" s="157"/>
      <c r="K107" s="157"/>
    </row>
    <row r="108" spans="2:11" x14ac:dyDescent="0.2">
      <c r="B108" s="153"/>
      <c r="C108" s="159">
        <v>6.5</v>
      </c>
      <c r="D108" s="154"/>
      <c r="E108" s="155" t="s">
        <v>258</v>
      </c>
      <c r="F108" s="154"/>
      <c r="G108" s="157"/>
      <c r="H108" s="157"/>
      <c r="I108" s="157" t="s">
        <v>281</v>
      </c>
      <c r="J108" s="157" t="s">
        <v>281</v>
      </c>
      <c r="K108" s="201">
        <f>SUM(J110:J115)</f>
        <v>21125</v>
      </c>
    </row>
    <row r="109" spans="2:11" x14ac:dyDescent="0.2">
      <c r="B109" s="153"/>
      <c r="C109" s="159"/>
      <c r="D109" s="154"/>
      <c r="E109" s="156"/>
      <c r="F109" s="154"/>
      <c r="G109" s="157"/>
      <c r="H109" s="157"/>
      <c r="I109" s="157" t="s">
        <v>281</v>
      </c>
      <c r="J109" s="157" t="s">
        <v>281</v>
      </c>
      <c r="K109" s="157"/>
    </row>
    <row r="110" spans="2:11" x14ac:dyDescent="0.2">
      <c r="B110" s="153"/>
      <c r="C110" s="159"/>
      <c r="D110" s="159" t="s">
        <v>337</v>
      </c>
      <c r="E110" s="155" t="s">
        <v>259</v>
      </c>
      <c r="F110" s="154"/>
      <c r="G110" s="157"/>
      <c r="H110" s="157"/>
      <c r="I110" s="157" t="s">
        <v>281</v>
      </c>
      <c r="J110" s="158">
        <f>SUM(I111:I113)</f>
        <v>14000</v>
      </c>
      <c r="K110" s="157"/>
    </row>
    <row r="111" spans="2:11" x14ac:dyDescent="0.2">
      <c r="B111" s="153"/>
      <c r="C111" s="159"/>
      <c r="D111" s="159"/>
      <c r="E111" s="156" t="s">
        <v>198</v>
      </c>
      <c r="F111" s="154" t="s">
        <v>280</v>
      </c>
      <c r="G111" s="157">
        <v>1</v>
      </c>
      <c r="H111" s="157">
        <v>4000</v>
      </c>
      <c r="I111" s="157">
        <f>H111*G111</f>
        <v>4000</v>
      </c>
      <c r="J111" s="157"/>
      <c r="K111" s="157"/>
    </row>
    <row r="112" spans="2:11" x14ac:dyDescent="0.2">
      <c r="B112" s="153"/>
      <c r="C112" s="159"/>
      <c r="D112" s="159"/>
      <c r="E112" s="156" t="s">
        <v>199</v>
      </c>
      <c r="F112" s="154" t="s">
        <v>280</v>
      </c>
      <c r="G112" s="157">
        <v>1</v>
      </c>
      <c r="H112" s="157">
        <v>8000</v>
      </c>
      <c r="I112" s="157">
        <f>H112*G112</f>
        <v>8000</v>
      </c>
      <c r="J112" s="157"/>
      <c r="K112" s="157"/>
    </row>
    <row r="113" spans="2:11" x14ac:dyDescent="0.2">
      <c r="B113" s="153"/>
      <c r="C113" s="159"/>
      <c r="D113" s="159"/>
      <c r="E113" s="156" t="s">
        <v>200</v>
      </c>
      <c r="F113" s="154" t="s">
        <v>280</v>
      </c>
      <c r="G113" s="157">
        <v>1</v>
      </c>
      <c r="H113" s="157">
        <v>2000</v>
      </c>
      <c r="I113" s="157">
        <f>H113*G113</f>
        <v>2000</v>
      </c>
      <c r="J113" s="157"/>
      <c r="K113" s="157"/>
    </row>
    <row r="114" spans="2:11" x14ac:dyDescent="0.2">
      <c r="B114" s="153"/>
      <c r="C114" s="159"/>
      <c r="D114" s="159"/>
      <c r="E114" s="155"/>
      <c r="F114" s="154"/>
      <c r="G114" s="157"/>
      <c r="H114" s="157"/>
      <c r="I114" s="157" t="s">
        <v>281</v>
      </c>
      <c r="J114" s="157"/>
      <c r="K114" s="157"/>
    </row>
    <row r="115" spans="2:11" x14ac:dyDescent="0.2">
      <c r="B115" s="153"/>
      <c r="C115" s="159"/>
      <c r="D115" s="159" t="s">
        <v>338</v>
      </c>
      <c r="E115" s="155" t="s">
        <v>260</v>
      </c>
      <c r="F115" s="154" t="s">
        <v>281</v>
      </c>
      <c r="G115" s="157" t="s">
        <v>281</v>
      </c>
      <c r="H115" s="157" t="s">
        <v>281</v>
      </c>
      <c r="I115" s="157" t="s">
        <v>281</v>
      </c>
      <c r="J115" s="158">
        <f>SUM(I116:I118)</f>
        <v>7125</v>
      </c>
      <c r="K115" s="157"/>
    </row>
    <row r="116" spans="2:11" x14ac:dyDescent="0.2">
      <c r="B116" s="153"/>
      <c r="C116" s="159"/>
      <c r="D116" s="159"/>
      <c r="E116" s="156" t="s">
        <v>261</v>
      </c>
      <c r="F116" s="154" t="s">
        <v>302</v>
      </c>
      <c r="G116" s="157">
        <v>95</v>
      </c>
      <c r="H116" s="157">
        <v>5</v>
      </c>
      <c r="I116" s="157">
        <f>H116*G116</f>
        <v>475</v>
      </c>
      <c r="J116" s="157"/>
      <c r="K116" s="157"/>
    </row>
    <row r="117" spans="2:11" x14ac:dyDescent="0.2">
      <c r="B117" s="153"/>
      <c r="C117" s="159"/>
      <c r="D117" s="159"/>
      <c r="E117" s="156" t="s">
        <v>262</v>
      </c>
      <c r="F117" s="154" t="s">
        <v>302</v>
      </c>
      <c r="G117" s="157">
        <v>95</v>
      </c>
      <c r="H117" s="157">
        <v>40</v>
      </c>
      <c r="I117" s="157">
        <f>H117*G117</f>
        <v>3800</v>
      </c>
      <c r="J117" s="157"/>
      <c r="K117" s="157"/>
    </row>
    <row r="118" spans="2:11" x14ac:dyDescent="0.2">
      <c r="B118" s="153"/>
      <c r="C118" s="159"/>
      <c r="D118" s="159"/>
      <c r="E118" s="156" t="s">
        <v>263</v>
      </c>
      <c r="F118" s="154" t="s">
        <v>302</v>
      </c>
      <c r="G118" s="157">
        <v>95</v>
      </c>
      <c r="H118" s="157">
        <v>30</v>
      </c>
      <c r="I118" s="157">
        <f>H118*G118</f>
        <v>2850</v>
      </c>
      <c r="J118" s="157"/>
      <c r="K118" s="157"/>
    </row>
    <row r="119" spans="2:11" x14ac:dyDescent="0.2">
      <c r="B119" s="153"/>
      <c r="C119" s="159"/>
      <c r="D119" s="159"/>
      <c r="E119" s="155"/>
      <c r="F119" s="154"/>
      <c r="G119" s="157"/>
      <c r="H119" s="157"/>
      <c r="I119" s="157" t="s">
        <v>281</v>
      </c>
      <c r="J119" s="157"/>
      <c r="K119" s="157"/>
    </row>
    <row r="120" spans="2:11" x14ac:dyDescent="0.2">
      <c r="B120" s="153"/>
      <c r="C120" s="159">
        <v>6.6</v>
      </c>
      <c r="D120" s="159"/>
      <c r="E120" s="155" t="s">
        <v>248</v>
      </c>
      <c r="F120" s="154"/>
      <c r="G120" s="157"/>
      <c r="H120" s="157"/>
      <c r="I120" s="157" t="s">
        <v>281</v>
      </c>
      <c r="J120" s="157"/>
      <c r="K120" s="201">
        <f>+J122</f>
        <v>1000</v>
      </c>
    </row>
    <row r="121" spans="2:11" x14ac:dyDescent="0.2">
      <c r="B121" s="153"/>
      <c r="C121" s="159"/>
      <c r="D121" s="159"/>
      <c r="E121" s="155"/>
      <c r="F121" s="154"/>
      <c r="G121" s="157"/>
      <c r="H121" s="157"/>
      <c r="I121" s="157" t="s">
        <v>281</v>
      </c>
      <c r="J121" s="157"/>
      <c r="K121" s="157"/>
    </row>
    <row r="122" spans="2:11" x14ac:dyDescent="0.2">
      <c r="B122" s="153"/>
      <c r="C122" s="159"/>
      <c r="D122" s="159" t="s">
        <v>339</v>
      </c>
      <c r="E122" s="155" t="s">
        <v>264</v>
      </c>
      <c r="F122" s="154"/>
      <c r="G122" s="157"/>
      <c r="H122" s="157"/>
      <c r="I122" s="157" t="s">
        <v>281</v>
      </c>
      <c r="J122" s="158">
        <f>I123</f>
        <v>1000</v>
      </c>
      <c r="K122" s="157"/>
    </row>
    <row r="123" spans="2:11" x14ac:dyDescent="0.2">
      <c r="B123" s="153"/>
      <c r="C123" s="159"/>
      <c r="D123" s="159"/>
      <c r="E123" s="156" t="s">
        <v>265</v>
      </c>
      <c r="F123" s="154" t="s">
        <v>302</v>
      </c>
      <c r="G123" s="157">
        <v>1</v>
      </c>
      <c r="H123" s="157">
        <v>1000</v>
      </c>
      <c r="I123" s="157">
        <f>H123*G123</f>
        <v>1000</v>
      </c>
      <c r="J123" s="157"/>
      <c r="K123" s="157"/>
    </row>
    <row r="124" spans="2:11" x14ac:dyDescent="0.2">
      <c r="B124" s="153"/>
      <c r="C124" s="159"/>
      <c r="D124" s="159"/>
      <c r="E124" s="155"/>
      <c r="F124" s="154"/>
      <c r="G124" s="157"/>
      <c r="H124" s="157"/>
      <c r="I124" s="157" t="s">
        <v>281</v>
      </c>
      <c r="J124" s="157"/>
      <c r="K124" s="157"/>
    </row>
    <row r="125" spans="2:11" x14ac:dyDescent="0.2">
      <c r="B125" s="153"/>
      <c r="C125" s="159">
        <v>6.7</v>
      </c>
      <c r="D125" s="159"/>
      <c r="E125" s="155" t="s">
        <v>266</v>
      </c>
      <c r="F125" s="154"/>
      <c r="G125" s="157"/>
      <c r="H125" s="157"/>
      <c r="I125" s="157" t="s">
        <v>281</v>
      </c>
      <c r="J125" s="157"/>
      <c r="K125" s="201">
        <f>SUM(J127:J131)</f>
        <v>84150</v>
      </c>
    </row>
    <row r="126" spans="2:11" x14ac:dyDescent="0.2">
      <c r="B126" s="153"/>
      <c r="C126" s="159"/>
      <c r="D126" s="159"/>
      <c r="E126" s="155"/>
      <c r="F126" s="154"/>
      <c r="G126" s="157"/>
      <c r="H126" s="157"/>
      <c r="I126" s="157" t="s">
        <v>281</v>
      </c>
      <c r="J126" s="157"/>
      <c r="K126" s="157"/>
    </row>
    <row r="127" spans="2:11" x14ac:dyDescent="0.2">
      <c r="B127" s="153"/>
      <c r="C127" s="159"/>
      <c r="D127" s="159" t="s">
        <v>340</v>
      </c>
      <c r="E127" s="155" t="s">
        <v>267</v>
      </c>
      <c r="F127" s="154"/>
      <c r="G127" s="157"/>
      <c r="H127" s="157"/>
      <c r="I127" s="157" t="s">
        <v>281</v>
      </c>
      <c r="J127" s="158">
        <f>SUM(I128:I129)</f>
        <v>41400</v>
      </c>
      <c r="K127" s="157"/>
    </row>
    <row r="128" spans="2:11" x14ac:dyDescent="0.2">
      <c r="B128" s="153"/>
      <c r="C128" s="159"/>
      <c r="D128" s="159"/>
      <c r="E128" s="156" t="s">
        <v>289</v>
      </c>
      <c r="F128" s="154" t="s">
        <v>279</v>
      </c>
      <c r="G128" s="157">
        <v>23</v>
      </c>
      <c r="H128" s="157">
        <v>800</v>
      </c>
      <c r="I128" s="157">
        <f>H128*G128</f>
        <v>18400</v>
      </c>
      <c r="J128" s="157"/>
      <c r="K128" s="157"/>
    </row>
    <row r="129" spans="2:11" x14ac:dyDescent="0.2">
      <c r="B129" s="153"/>
      <c r="C129" s="159"/>
      <c r="D129" s="159"/>
      <c r="E129" s="156" t="s">
        <v>268</v>
      </c>
      <c r="F129" s="154" t="s">
        <v>279</v>
      </c>
      <c r="G129" s="157">
        <v>23</v>
      </c>
      <c r="H129" s="157">
        <v>1000</v>
      </c>
      <c r="I129" s="157">
        <f>H129*G129</f>
        <v>23000</v>
      </c>
      <c r="J129" s="157"/>
      <c r="K129" s="157"/>
    </row>
    <row r="130" spans="2:11" x14ac:dyDescent="0.2">
      <c r="B130" s="153"/>
      <c r="C130" s="159"/>
      <c r="D130" s="159"/>
      <c r="E130" s="155"/>
      <c r="F130" s="154"/>
      <c r="G130" s="157"/>
      <c r="H130" s="157"/>
      <c r="I130" s="157" t="s">
        <v>281</v>
      </c>
      <c r="J130" s="157"/>
      <c r="K130" s="157"/>
    </row>
    <row r="131" spans="2:11" x14ac:dyDescent="0.2">
      <c r="B131" s="153"/>
      <c r="C131" s="159"/>
      <c r="D131" s="159" t="s">
        <v>341</v>
      </c>
      <c r="E131" s="155" t="s">
        <v>269</v>
      </c>
      <c r="F131" s="154"/>
      <c r="G131" s="157"/>
      <c r="H131" s="157"/>
      <c r="I131" s="157" t="s">
        <v>281</v>
      </c>
      <c r="J131" s="158">
        <f>SUM(I132:I133)</f>
        <v>42750</v>
      </c>
      <c r="K131" s="157"/>
    </row>
    <row r="132" spans="2:11" x14ac:dyDescent="0.2">
      <c r="B132" s="153"/>
      <c r="C132" s="159"/>
      <c r="D132" s="159"/>
      <c r="E132" s="156" t="s">
        <v>352</v>
      </c>
      <c r="F132" s="154" t="s">
        <v>302</v>
      </c>
      <c r="G132" s="157">
        <v>95</v>
      </c>
      <c r="H132" s="157">
        <v>150</v>
      </c>
      <c r="I132" s="157">
        <f>H132*G132</f>
        <v>14250</v>
      </c>
      <c r="J132" s="157"/>
      <c r="K132" s="157"/>
    </row>
    <row r="133" spans="2:11" x14ac:dyDescent="0.2">
      <c r="B133" s="153"/>
      <c r="C133" s="159"/>
      <c r="D133" s="159"/>
      <c r="E133" s="156" t="s">
        <v>270</v>
      </c>
      <c r="F133" s="154" t="s">
        <v>302</v>
      </c>
      <c r="G133" s="157">
        <v>95</v>
      </c>
      <c r="H133" s="157">
        <v>300</v>
      </c>
      <c r="I133" s="157">
        <f>H133*G133</f>
        <v>28500</v>
      </c>
      <c r="J133" s="157"/>
      <c r="K133" s="157"/>
    </row>
    <row r="134" spans="2:11" x14ac:dyDescent="0.2">
      <c r="B134" s="153"/>
      <c r="C134" s="159"/>
      <c r="D134" s="159"/>
      <c r="E134" s="155"/>
      <c r="F134" s="154"/>
      <c r="G134" s="157"/>
      <c r="H134" s="157"/>
      <c r="I134" s="157" t="s">
        <v>281</v>
      </c>
      <c r="J134" s="157"/>
      <c r="K134" s="157"/>
    </row>
    <row r="135" spans="2:11" x14ac:dyDescent="0.2">
      <c r="B135" s="153"/>
      <c r="C135" s="159">
        <v>6.8</v>
      </c>
      <c r="D135" s="159"/>
      <c r="E135" s="155" t="s">
        <v>271</v>
      </c>
      <c r="F135" s="154"/>
      <c r="G135" s="157"/>
      <c r="H135" s="157"/>
      <c r="I135" s="157" t="s">
        <v>281</v>
      </c>
      <c r="J135" s="158">
        <f>SUM(I136:I137)</f>
        <v>23750</v>
      </c>
      <c r="K135" s="201">
        <f>+J135</f>
        <v>23750</v>
      </c>
    </row>
    <row r="136" spans="2:11" x14ac:dyDescent="0.2">
      <c r="B136" s="153"/>
      <c r="C136" s="159"/>
      <c r="D136" s="159" t="s">
        <v>342</v>
      </c>
      <c r="E136" s="156" t="s">
        <v>272</v>
      </c>
      <c r="F136" s="154" t="s">
        <v>302</v>
      </c>
      <c r="G136" s="157">
        <v>95</v>
      </c>
      <c r="H136" s="157">
        <v>100</v>
      </c>
      <c r="I136" s="157">
        <f>H136*G136</f>
        <v>9500</v>
      </c>
      <c r="J136" s="157"/>
      <c r="K136" s="157"/>
    </row>
    <row r="137" spans="2:11" ht="13.5" x14ac:dyDescent="0.25">
      <c r="B137" s="153"/>
      <c r="C137" s="159"/>
      <c r="D137" s="159" t="s">
        <v>343</v>
      </c>
      <c r="E137" s="156" t="s">
        <v>353</v>
      </c>
      <c r="F137" s="154" t="s">
        <v>302</v>
      </c>
      <c r="G137" s="157">
        <v>47.5</v>
      </c>
      <c r="H137" s="157">
        <v>300</v>
      </c>
      <c r="I137" s="157">
        <f>H137*G137</f>
        <v>14250</v>
      </c>
      <c r="J137" s="157"/>
      <c r="K137" s="157"/>
    </row>
    <row r="138" spans="2:11" x14ac:dyDescent="0.2">
      <c r="B138" s="153"/>
      <c r="C138" s="159"/>
      <c r="D138" s="159"/>
      <c r="E138" s="155"/>
      <c r="F138" s="154"/>
      <c r="G138" s="157"/>
      <c r="H138" s="157"/>
      <c r="I138" s="157" t="s">
        <v>281</v>
      </c>
      <c r="J138" s="157"/>
      <c r="K138" s="157"/>
    </row>
    <row r="139" spans="2:11" x14ac:dyDescent="0.2">
      <c r="B139" s="5"/>
      <c r="C139" s="5"/>
      <c r="D139" s="5"/>
    </row>
    <row r="140" spans="2:11" x14ac:dyDescent="0.2">
      <c r="B140" s="5"/>
      <c r="C140" s="5"/>
      <c r="D140" s="5"/>
    </row>
    <row r="141" spans="2:11" x14ac:dyDescent="0.2">
      <c r="B141" s="5"/>
      <c r="C141" s="5"/>
      <c r="D141" s="5"/>
    </row>
    <row r="142" spans="2:11" x14ac:dyDescent="0.2">
      <c r="B142" s="5"/>
      <c r="C142" s="5"/>
      <c r="D142" s="5"/>
    </row>
    <row r="143" spans="2:11" x14ac:dyDescent="0.2">
      <c r="B143" s="5"/>
      <c r="C143" s="5"/>
      <c r="D143" s="5"/>
    </row>
    <row r="144" spans="2:11" x14ac:dyDescent="0.2">
      <c r="B144" s="5"/>
      <c r="C144" s="5"/>
      <c r="D144" s="5"/>
    </row>
    <row r="145" spans="2:4" x14ac:dyDescent="0.2">
      <c r="B145" s="5"/>
      <c r="C145" s="5"/>
      <c r="D145" s="5"/>
    </row>
    <row r="146" spans="2:4" x14ac:dyDescent="0.2">
      <c r="B146" s="5"/>
      <c r="C146" s="5"/>
      <c r="D146" s="5"/>
    </row>
    <row r="147" spans="2:4" x14ac:dyDescent="0.2">
      <c r="B147" s="5"/>
      <c r="C147" s="5"/>
      <c r="D147" s="5"/>
    </row>
    <row r="148" spans="2:4" x14ac:dyDescent="0.2">
      <c r="B148" s="5"/>
      <c r="C148" s="5"/>
      <c r="D148" s="5"/>
    </row>
    <row r="149" spans="2:4" x14ac:dyDescent="0.2">
      <c r="B149" s="5"/>
      <c r="C149" s="5"/>
      <c r="D149" s="5"/>
    </row>
    <row r="150" spans="2:4" x14ac:dyDescent="0.2">
      <c r="B150" s="5"/>
      <c r="C150" s="5"/>
      <c r="D150" s="5"/>
    </row>
    <row r="151" spans="2:4" x14ac:dyDescent="0.2">
      <c r="B151" s="5"/>
      <c r="C151" s="5"/>
      <c r="D151" s="5"/>
    </row>
    <row r="152" spans="2:4" x14ac:dyDescent="0.2">
      <c r="B152" s="5"/>
      <c r="C152" s="5"/>
      <c r="D152" s="5"/>
    </row>
    <row r="153" spans="2:4" x14ac:dyDescent="0.2">
      <c r="B153" s="5"/>
      <c r="C153" s="5"/>
      <c r="D153" s="5"/>
    </row>
    <row r="154" spans="2:4" x14ac:dyDescent="0.2">
      <c r="B154" s="5"/>
      <c r="C154" s="5"/>
      <c r="D154" s="5"/>
    </row>
    <row r="155" spans="2:4" x14ac:dyDescent="0.2">
      <c r="B155" s="5"/>
      <c r="C155" s="5"/>
      <c r="D155" s="5"/>
    </row>
    <row r="156" spans="2:4" x14ac:dyDescent="0.2">
      <c r="B156" s="5"/>
      <c r="C156" s="5"/>
      <c r="D156" s="5"/>
    </row>
    <row r="157" spans="2:4" x14ac:dyDescent="0.2">
      <c r="B157" s="5"/>
      <c r="C157" s="5"/>
      <c r="D157" s="5"/>
    </row>
    <row r="158" spans="2:4" x14ac:dyDescent="0.2">
      <c r="B158" s="5"/>
      <c r="C158" s="5"/>
      <c r="D158" s="5"/>
    </row>
    <row r="159" spans="2:4" x14ac:dyDescent="0.2">
      <c r="B159" s="5"/>
      <c r="C159" s="5"/>
      <c r="D159" s="5"/>
    </row>
    <row r="160" spans="2:4" x14ac:dyDescent="0.2">
      <c r="B160" s="5"/>
      <c r="C160" s="5"/>
      <c r="D160" s="5"/>
    </row>
  </sheetData>
  <mergeCells count="2">
    <mergeCell ref="B14:D14"/>
    <mergeCell ref="I2:K2"/>
  </mergeCells>
  <phoneticPr fontId="12" type="noConversion"/>
  <pageMargins left="0.47244094488188981" right="0" top="0.78740157480314965" bottom="0.78740157480314965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Proyeccion Inv.</vt:lpstr>
      <vt:lpstr>Terreno</vt:lpstr>
      <vt:lpstr>Comercialización</vt:lpstr>
      <vt:lpstr>Comercialización!Área_de_impresión</vt:lpstr>
      <vt:lpstr>'Proyeccion Inv.'!Área_de_impresión</vt:lpstr>
      <vt:lpstr>Terreno!Área_de_impresión</vt:lpstr>
      <vt:lpstr>'Proyeccion Inv.'!Títulos_a_imprimir</vt:lpstr>
      <vt:lpstr>Terreno!Títulos_a_imprimir</vt:lpstr>
    </vt:vector>
  </TitlesOfParts>
  <Company>MACH ASOCIADOS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</dc:creator>
  <cp:lastModifiedBy>Hernando Terrazas Silva</cp:lastModifiedBy>
  <cp:lastPrinted>2011-11-06T13:31:08Z</cp:lastPrinted>
  <dcterms:created xsi:type="dcterms:W3CDTF">2011-11-04T15:45:00Z</dcterms:created>
  <dcterms:modified xsi:type="dcterms:W3CDTF">2013-02-08T15:39:19Z</dcterms:modified>
</cp:coreProperties>
</file>