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XTe\D-Recursos\9999-Varios\"/>
    </mc:Choice>
  </mc:AlternateContent>
  <bookViews>
    <workbookView xWindow="0" yWindow="0" windowWidth="19200" windowHeight="11745" tabRatio="896"/>
  </bookViews>
  <sheets>
    <sheet name="00 - Resumen" sheetId="5" r:id="rId1"/>
    <sheet name="01 - Terreno - Datos" sheetId="6" r:id="rId2"/>
    <sheet name="02 - Terreno - Costo" sheetId="1" r:id="rId3"/>
    <sheet name="03 - Proyecto" sheetId="2" r:id="rId4"/>
    <sheet name="04 - Licencias y Permisos" sheetId="7" r:id="rId5"/>
    <sheet name="05 - Saneamiento Inmobiliario" sheetId="8" r:id="rId6"/>
    <sheet name="06 - Construcción" sheetId="9" r:id="rId7"/>
    <sheet name="07 - Gestión del Proyecto" sheetId="10" r:id="rId8"/>
    <sheet name="8 - Comercialización" sheetId="3" r:id="rId9"/>
  </sheets>
  <definedNames>
    <definedName name="_xlnm.Print_Area" localSheetId="1">'01 - Terreno - Datos'!$A$1:$M$38</definedName>
    <definedName name="_xlnm.Print_Area" localSheetId="2">'02 - Terreno - Costo'!$A$1:$M$35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5" l="1"/>
  <c r="N24" i="5"/>
  <c r="N38" i="5"/>
  <c r="H39" i="5"/>
  <c r="H38" i="5"/>
  <c r="H37" i="5"/>
  <c r="I110" i="5" l="1"/>
  <c r="I57" i="5"/>
  <c r="F39" i="5"/>
  <c r="I39" i="5" s="1"/>
  <c r="F38" i="5"/>
  <c r="I38" i="5" s="1"/>
  <c r="F37" i="5"/>
  <c r="I37" i="5" s="1"/>
  <c r="I24" i="5"/>
  <c r="I25" i="5"/>
  <c r="I20" i="5"/>
  <c r="I19" i="5"/>
  <c r="I18" i="5"/>
  <c r="I17" i="5"/>
  <c r="I16" i="5"/>
  <c r="J41" i="5" l="1"/>
  <c r="J14" i="5"/>
  <c r="J22" i="5"/>
  <c r="J42" i="5" l="1"/>
  <c r="J43" i="5" s="1"/>
  <c r="J27" i="5"/>
  <c r="J57" i="5" l="1"/>
  <c r="J53" i="5" s="1"/>
  <c r="J55" i="5"/>
  <c r="J54" i="5"/>
  <c r="J107" i="5" l="1"/>
  <c r="J108" i="5"/>
  <c r="I63" i="5"/>
  <c r="J110" i="5" l="1"/>
  <c r="I39" i="3" l="1"/>
  <c r="I38" i="3"/>
  <c r="I36" i="3"/>
  <c r="I35" i="3"/>
  <c r="I34" i="3"/>
  <c r="I33" i="3"/>
  <c r="I22" i="3"/>
  <c r="I145" i="3"/>
  <c r="I144" i="3"/>
  <c r="L2" i="10"/>
  <c r="M2" i="3"/>
  <c r="J7" i="3"/>
  <c r="J6" i="3"/>
  <c r="J5" i="3"/>
  <c r="N42" i="9"/>
  <c r="N38" i="9"/>
  <c r="N34" i="9"/>
  <c r="N30" i="9"/>
  <c r="N26" i="9"/>
  <c r="N22" i="9"/>
  <c r="N18" i="9"/>
  <c r="K48" i="9"/>
  <c r="K42" i="9"/>
  <c r="K38" i="9"/>
  <c r="K34" i="9"/>
  <c r="K30" i="9"/>
  <c r="K26" i="9"/>
  <c r="K22" i="9"/>
  <c r="K18" i="9"/>
  <c r="J6" i="9"/>
  <c r="K48" i="8"/>
  <c r="K45" i="8"/>
  <c r="K43" i="8"/>
  <c r="K28" i="8"/>
  <c r="K33" i="8"/>
  <c r="K30" i="8"/>
  <c r="K24" i="2"/>
  <c r="K21" i="2"/>
  <c r="K16" i="2"/>
  <c r="M120" i="3"/>
  <c r="K160" i="3"/>
  <c r="L158" i="3" s="1"/>
  <c r="K156" i="3"/>
  <c r="L154" i="3" s="1"/>
  <c r="K150" i="3"/>
  <c r="K149" i="3"/>
  <c r="K145" i="3"/>
  <c r="K144" i="3"/>
  <c r="K138" i="3"/>
  <c r="L136" i="3" s="1"/>
  <c r="M134" i="3" s="1"/>
  <c r="K132" i="3"/>
  <c r="K131" i="3"/>
  <c r="K130" i="3"/>
  <c r="K126" i="3"/>
  <c r="K125" i="3"/>
  <c r="K124" i="3"/>
  <c r="K112" i="3"/>
  <c r="K93" i="3"/>
  <c r="K92" i="3"/>
  <c r="L90" i="3" s="1"/>
  <c r="K88" i="3"/>
  <c r="K87" i="3"/>
  <c r="L85" i="3" s="1"/>
  <c r="K83" i="3"/>
  <c r="K82" i="3"/>
  <c r="K81" i="3"/>
  <c r="K78" i="3"/>
  <c r="K77" i="3" s="1"/>
  <c r="K75" i="3"/>
  <c r="K74" i="3"/>
  <c r="K118" i="3"/>
  <c r="K117" i="3"/>
  <c r="K113" i="3"/>
  <c r="K111" i="3"/>
  <c r="K100" i="3"/>
  <c r="K99" i="3"/>
  <c r="K105" i="3"/>
  <c r="K104" i="3"/>
  <c r="K69" i="3"/>
  <c r="K68" i="3"/>
  <c r="K65" i="3"/>
  <c r="K64" i="3"/>
  <c r="K63" i="3"/>
  <c r="K57" i="3"/>
  <c r="K58" i="3"/>
  <c r="K56" i="3"/>
  <c r="K55" i="3"/>
  <c r="K48" i="3"/>
  <c r="K49" i="3"/>
  <c r="K50" i="3"/>
  <c r="K51" i="3"/>
  <c r="K47" i="3"/>
  <c r="K46" i="3"/>
  <c r="L147" i="3" l="1"/>
  <c r="L142" i="3"/>
  <c r="M152" i="3"/>
  <c r="L109" i="3"/>
  <c r="K80" i="3"/>
  <c r="K62" i="3"/>
  <c r="K67" i="3"/>
  <c r="L97" i="3"/>
  <c r="M95" i="3" s="1"/>
  <c r="L128" i="3"/>
  <c r="L122" i="3"/>
  <c r="L102" i="3"/>
  <c r="L115" i="3"/>
  <c r="L53" i="3"/>
  <c r="K73" i="3"/>
  <c r="L44" i="3"/>
  <c r="M140" i="3" l="1"/>
  <c r="L71" i="3"/>
  <c r="M107" i="3"/>
  <c r="L60" i="3"/>
  <c r="M42" i="3" s="1"/>
  <c r="O47" i="2" l="1"/>
  <c r="J39" i="2"/>
  <c r="K38" i="3" l="1"/>
  <c r="K36" i="3"/>
  <c r="K35" i="3"/>
  <c r="K34" i="3"/>
  <c r="K39" i="3"/>
  <c r="K33" i="3"/>
  <c r="K28" i="3"/>
  <c r="K27" i="3"/>
  <c r="K26" i="3"/>
  <c r="K19" i="3"/>
  <c r="K20" i="3"/>
  <c r="K21" i="3"/>
  <c r="K22" i="3"/>
  <c r="K18" i="3"/>
  <c r="I20" i="10"/>
  <c r="K20" i="10" s="1"/>
  <c r="I42" i="9"/>
  <c r="I38" i="9"/>
  <c r="I34" i="9"/>
  <c r="I30" i="9"/>
  <c r="I26" i="9"/>
  <c r="I22" i="9"/>
  <c r="I18" i="9"/>
  <c r="K37" i="3" l="1"/>
  <c r="K32" i="3"/>
  <c r="I16" i="10"/>
  <c r="K16" i="10" s="1"/>
  <c r="K14" i="10" s="1"/>
  <c r="L24" i="3"/>
  <c r="L16" i="3"/>
  <c r="K73" i="8"/>
  <c r="K72" i="8"/>
  <c r="K67" i="8"/>
  <c r="K59" i="8"/>
  <c r="K55" i="8"/>
  <c r="K49" i="8"/>
  <c r="K46" i="8"/>
  <c r="K47" i="8"/>
  <c r="K36" i="8"/>
  <c r="K32" i="8"/>
  <c r="K31" i="8"/>
  <c r="L30" i="3" l="1"/>
  <c r="M14" i="3" s="1"/>
  <c r="M12" i="3" s="1"/>
  <c r="K18" i="10"/>
  <c r="L12" i="10" s="1"/>
  <c r="J26" i="8"/>
  <c r="L12" i="8"/>
  <c r="K40" i="8"/>
  <c r="I5" i="8"/>
  <c r="I74" i="8" l="1"/>
  <c r="K74" i="8" s="1"/>
  <c r="I75" i="8"/>
  <c r="K75" i="8" s="1"/>
  <c r="I41" i="8"/>
  <c r="K41" i="8" s="1"/>
  <c r="I53" i="8"/>
  <c r="K38" i="8"/>
  <c r="K28" i="7"/>
  <c r="K27" i="7"/>
  <c r="K25" i="7" s="1"/>
  <c r="J23" i="7"/>
  <c r="K23" i="7" s="1"/>
  <c r="J22" i="7"/>
  <c r="K22" i="7" s="1"/>
  <c r="I5" i="7"/>
  <c r="K54" i="2"/>
  <c r="K48" i="2"/>
  <c r="K47" i="2"/>
  <c r="K33" i="2"/>
  <c r="K32" i="2" s="1"/>
  <c r="K34" i="2"/>
  <c r="K30" i="2"/>
  <c r="K29" i="2"/>
  <c r="I27" i="6"/>
  <c r="I29" i="6" s="1"/>
  <c r="I45" i="2" s="1"/>
  <c r="I21" i="6"/>
  <c r="I20" i="6"/>
  <c r="I33" i="6" s="1"/>
  <c r="I19" i="6"/>
  <c r="I32" i="6" s="1"/>
  <c r="K34" i="1"/>
  <c r="K32" i="1" s="1"/>
  <c r="K24" i="1"/>
  <c r="K23" i="1"/>
  <c r="K12" i="1"/>
  <c r="K11" i="1"/>
  <c r="I10" i="1" l="1"/>
  <c r="I30" i="1" s="1"/>
  <c r="K30" i="1" s="1"/>
  <c r="K28" i="1" s="1"/>
  <c r="K20" i="7"/>
  <c r="K71" i="8"/>
  <c r="K69" i="8" s="1"/>
  <c r="K57" i="8"/>
  <c r="K53" i="8"/>
  <c r="K51" i="8" s="1"/>
  <c r="K28" i="2"/>
  <c r="I35" i="6"/>
  <c r="I37" i="6" s="1"/>
  <c r="K10" i="1"/>
  <c r="J15" i="1" s="1"/>
  <c r="K15" i="1" s="1"/>
  <c r="K8" i="1" s="1"/>
  <c r="I22" i="6"/>
  <c r="L26" i="1"/>
  <c r="K24" i="6" l="1"/>
  <c r="I44" i="2"/>
  <c r="I41" i="2"/>
  <c r="I39" i="2"/>
  <c r="K39" i="2" s="1"/>
  <c r="I43" i="2"/>
  <c r="I42" i="2"/>
  <c r="I40" i="2"/>
  <c r="K26" i="2"/>
  <c r="J22" i="1"/>
  <c r="K22" i="1" s="1"/>
  <c r="K20" i="1" s="1"/>
  <c r="L6" i="1" s="1"/>
  <c r="L4" i="1" s="1"/>
  <c r="J5" i="9" l="1"/>
  <c r="I4" i="8"/>
  <c r="I4" i="7"/>
  <c r="L2" i="7" s="1"/>
  <c r="I4" i="2"/>
  <c r="L2" i="2" s="1"/>
  <c r="I17" i="2"/>
  <c r="J18" i="7"/>
  <c r="K18" i="7" s="1"/>
  <c r="J16" i="7"/>
  <c r="K16" i="7" s="1"/>
  <c r="J17" i="7"/>
  <c r="K17" i="7" s="1"/>
  <c r="J53" i="2" l="1"/>
  <c r="K53" i="2" s="1"/>
  <c r="J51" i="2"/>
  <c r="K51" i="2" s="1"/>
  <c r="J23" i="2"/>
  <c r="K23" i="2" s="1"/>
  <c r="J52" i="2"/>
  <c r="K52" i="2" s="1"/>
  <c r="J22" i="2"/>
  <c r="K22" i="2" s="1"/>
  <c r="L7" i="8"/>
  <c r="I26" i="8" s="1"/>
  <c r="K26" i="8" s="1"/>
  <c r="K24" i="8" s="1"/>
  <c r="L2" i="8"/>
  <c r="I18" i="2"/>
  <c r="K18" i="2" s="1"/>
  <c r="K17" i="2"/>
  <c r="K14" i="7"/>
  <c r="L12" i="7" s="1"/>
  <c r="K50" i="2" l="1"/>
  <c r="J34" i="8"/>
  <c r="K34" i="8" s="1"/>
  <c r="J66" i="8"/>
  <c r="K66" i="8" s="1"/>
  <c r="K64" i="8" s="1"/>
  <c r="L62" i="8" s="1"/>
  <c r="J35" i="8"/>
  <c r="K35" i="8" s="1"/>
  <c r="K20" i="2"/>
  <c r="K14" i="2" s="1"/>
  <c r="J40" i="2"/>
  <c r="L22" i="8" l="1"/>
  <c r="L20" i="8" s="1"/>
  <c r="K40" i="2"/>
  <c r="J41" i="2"/>
  <c r="K41" i="2" s="1"/>
  <c r="J42" i="2"/>
  <c r="K42" i="2" s="1"/>
  <c r="J43" i="2"/>
  <c r="K43" i="2" s="1"/>
  <c r="J44" i="2"/>
  <c r="K44" i="2" l="1"/>
  <c r="J45" i="2"/>
  <c r="K45" i="2" s="1"/>
  <c r="J46" i="2"/>
  <c r="K46" i="2" s="1"/>
  <c r="K38" i="2" l="1"/>
  <c r="K36" i="2" s="1"/>
  <c r="L12" i="2" s="1"/>
  <c r="N46" i="9" l="1"/>
  <c r="K12" i="9" l="1"/>
  <c r="K46" i="9"/>
  <c r="K47" i="9" s="1"/>
</calcChain>
</file>

<file path=xl/sharedStrings.xml><?xml version="1.0" encoding="utf-8"?>
<sst xmlns="http://schemas.openxmlformats.org/spreadsheetml/2006/main" count="597" uniqueCount="342">
  <si>
    <t>TERRENO</t>
  </si>
  <si>
    <t>Superficie</t>
  </si>
  <si>
    <t>Niveles</t>
  </si>
  <si>
    <t>m²</t>
  </si>
  <si>
    <t>UNIDAD</t>
  </si>
  <si>
    <t>CANTIDAD</t>
  </si>
  <si>
    <t>PRECIO</t>
  </si>
  <si>
    <t>PARCIAL</t>
  </si>
  <si>
    <t>TOTAL</t>
  </si>
  <si>
    <t>COSTO TERRENO</t>
  </si>
  <si>
    <t>SUPERFICIES</t>
  </si>
  <si>
    <t>TERRENO SANEADO</t>
  </si>
  <si>
    <t>COMPRA DEL INMUEBLE</t>
  </si>
  <si>
    <t>Valor del Inmueble</t>
  </si>
  <si>
    <t>Elaboración de minuta</t>
  </si>
  <si>
    <t>Escritura compra/venta</t>
  </si>
  <si>
    <t>Impuestos</t>
  </si>
  <si>
    <t>Gastos varios</t>
  </si>
  <si>
    <t>Glb</t>
  </si>
  <si>
    <t>glb</t>
  </si>
  <si>
    <t>%VT</t>
  </si>
  <si>
    <t>SANEAMIENTO DE TITULACIÓN</t>
  </si>
  <si>
    <t>Regulación del impuesto predial</t>
  </si>
  <si>
    <t>D.J. por transferencia</t>
  </si>
  <si>
    <t>DEMOLICIÓN</t>
  </si>
  <si>
    <t>Licencia de demolición</t>
  </si>
  <si>
    <t>PARTIDA</t>
  </si>
  <si>
    <t>CONCEPTO</t>
  </si>
  <si>
    <t>Demolición</t>
  </si>
  <si>
    <t>Trámite</t>
  </si>
  <si>
    <t>ml</t>
  </si>
  <si>
    <t>NORMATIVA</t>
  </si>
  <si>
    <t>%</t>
  </si>
  <si>
    <t>ud</t>
  </si>
  <si>
    <t>Retiro Fachada</t>
  </si>
  <si>
    <t>Retiro Profundidad</t>
  </si>
  <si>
    <t>gbl</t>
  </si>
  <si>
    <t>Descontar UIT</t>
  </si>
  <si>
    <t>UIT</t>
  </si>
  <si>
    <t>Unidad Impositiva Tributaria</t>
  </si>
  <si>
    <t>% de Área Libre</t>
  </si>
  <si>
    <t>Retiro Frontal</t>
  </si>
  <si>
    <t>Superficie de Área Libre</t>
  </si>
  <si>
    <t>Superficie del Retiro Frontal</t>
  </si>
  <si>
    <t>Superficie Edificable Nivel 01</t>
  </si>
  <si>
    <t xml:space="preserve">Superficie Edificable Niveles Superiores </t>
  </si>
  <si>
    <t>Superficie Restante de Área Libre menos Retiro Frontal</t>
  </si>
  <si>
    <t>SUPERFICIE TERRENO</t>
  </si>
  <si>
    <t>SUPERFICIES EDIFICABLES</t>
  </si>
  <si>
    <t>Superficie Total Edificable sobre Rasante</t>
  </si>
  <si>
    <t>Superficie Total Edificable bajo Rasante</t>
  </si>
  <si>
    <t>Niveles Máximos Permitidos sobre Rasante</t>
  </si>
  <si>
    <t>Superficie Permitida</t>
  </si>
  <si>
    <t>ud.</t>
  </si>
  <si>
    <t>Densidad Neta</t>
  </si>
  <si>
    <t>Hab/Ha.</t>
  </si>
  <si>
    <t>Estacionamiento</t>
  </si>
  <si>
    <t>1c/3viv+1c/50 m² = 33</t>
  </si>
  <si>
    <t>80 estacionamientos</t>
  </si>
  <si>
    <t>BAJO RASANTE</t>
  </si>
  <si>
    <t>SOBRE RASANTE</t>
  </si>
  <si>
    <t>SUPERFICIES DEL TERRENO</t>
  </si>
  <si>
    <t>SUPERFICIE TOTAL EDIFICABLE</t>
  </si>
  <si>
    <t>PROYECTO</t>
  </si>
  <si>
    <t>PROMOTOR:</t>
  </si>
  <si>
    <t>PROYECTO:</t>
  </si>
  <si>
    <t>EDIFICIO ARENALES</t>
  </si>
  <si>
    <t>FLAT ARENALES SAC</t>
  </si>
  <si>
    <t>Inscripción de título en RR.PP.</t>
  </si>
  <si>
    <t>ESTUDIOS</t>
  </si>
  <si>
    <t>ESTUDIOS PRELIMINARES</t>
  </si>
  <si>
    <t>Anteproyecto arquitectónico</t>
  </si>
  <si>
    <t>Anteproyecto de seguridad</t>
  </si>
  <si>
    <t>Derecho de revisión CAP</t>
  </si>
  <si>
    <t>Derecho de revisión BOMBEROS</t>
  </si>
  <si>
    <t>%VO</t>
  </si>
  <si>
    <t>VALOR DE OBRA (VO) S/. CON PRECIOS OFICIALES</t>
  </si>
  <si>
    <t>$</t>
  </si>
  <si>
    <t>FORMULACIÓN</t>
  </si>
  <si>
    <t>REVISIÓN</t>
  </si>
  <si>
    <t>ESTUDIOS BÁSICO</t>
  </si>
  <si>
    <t>Estudio de Mecánica de Suelos</t>
  </si>
  <si>
    <t>Estudio de Factibilidad Servicios Públicos</t>
  </si>
  <si>
    <t>Estudio de Impacto Ambiental</t>
  </si>
  <si>
    <t>Estudio de Impacto Vial</t>
  </si>
  <si>
    <t>ESTUDIOS DEFINITIVOS - (PROYECTO EJECUTIVO)</t>
  </si>
  <si>
    <t>Proyecto de Arquitectura</t>
  </si>
  <si>
    <t>Proyecto de Seguridad</t>
  </si>
  <si>
    <t>Proyecto de Estructuras</t>
  </si>
  <si>
    <t>Proyecto de Instalaciones Sanitarias</t>
  </si>
  <si>
    <t>Proyecto de Instalaciones Eléctricas</t>
  </si>
  <si>
    <t>Proyecto de Instalaciones Mecánicas</t>
  </si>
  <si>
    <t>Proyecto de Instalaciones de Gas</t>
  </si>
  <si>
    <t>Metrados, análisis de costo y presupuesto</t>
  </si>
  <si>
    <t>Ud.</t>
  </si>
  <si>
    <t>Proyecto de Sistema Protección Contra Incendio</t>
  </si>
  <si>
    <t>Memoria Descriptiva y Especificaciones Técnicas</t>
  </si>
  <si>
    <t>Derecho de Trámite</t>
  </si>
  <si>
    <t>Certificado de Habilitación de Proyecto</t>
  </si>
  <si>
    <t>Derecho de revisión CIP</t>
  </si>
  <si>
    <t>Área Techada de la Edificación</t>
  </si>
  <si>
    <t>Valor Oficial por superficie construida</t>
  </si>
  <si>
    <t>Número de pisos incluidos sótano y azotea.</t>
  </si>
  <si>
    <t>LICENCIAS Y PERMISOS</t>
  </si>
  <si>
    <t>LICENCIA DE OBRA</t>
  </si>
  <si>
    <t>PAGOS EN LA MUNICIPALIDAD</t>
  </si>
  <si>
    <t>Licencia de Obra</t>
  </si>
  <si>
    <t>Deterioro de  pistas y veredas</t>
  </si>
  <si>
    <t>Control de Obra Municipal</t>
  </si>
  <si>
    <t>PAGOS EN LOS COLEGIOS PROFESIONALES</t>
  </si>
  <si>
    <t>AUTORIZACIONES</t>
  </si>
  <si>
    <t>Licencia para Uso de la Vía Pública</t>
  </si>
  <si>
    <t>Supervisión de Obra CAP (2% de UIT x vez)</t>
  </si>
  <si>
    <t xml:space="preserve">Autorización Temporal Instalación de Cerco Previsto Área Pública </t>
  </si>
  <si>
    <t>VALORIZACIÓN DE APORTES AL SERPAR</t>
  </si>
  <si>
    <t>Área a aportar (% de área techada)</t>
  </si>
  <si>
    <t>Valor arancelario del tereno x m²</t>
  </si>
  <si>
    <t>UNIDADES INMOBILIARIAS</t>
  </si>
  <si>
    <t>Departamentos</t>
  </si>
  <si>
    <t>Estacionamientos</t>
  </si>
  <si>
    <t>Depósitos</t>
  </si>
  <si>
    <t>SANEAMIENTO INMOBILIARIO</t>
  </si>
  <si>
    <t>SANEAMIENTO TÉCNICO</t>
  </si>
  <si>
    <t>APORTE AL SERVICIO DE PARQUES - SERPAR</t>
  </si>
  <si>
    <t>Resolución y pago de aportes al SERPAR</t>
  </si>
  <si>
    <t>CERTIFICADO DE CONFORMIDAD DE OBRA</t>
  </si>
  <si>
    <t>Elaboración de planos de replanteo</t>
  </si>
  <si>
    <t>Copias de planos y otros</t>
  </si>
  <si>
    <t>Derecho de trámite</t>
  </si>
  <si>
    <t>CERTIFICADO DE NUMERACIÓN</t>
  </si>
  <si>
    <t>Pago por asignación exterior</t>
  </si>
  <si>
    <t>Pago por asignación interior</t>
  </si>
  <si>
    <t>FORMULACIÓN DE EXPEDIENTE</t>
  </si>
  <si>
    <t>DECLARACIÓN DE FÁBRICA</t>
  </si>
  <si>
    <t>Elaboración de FUO y otros documentos</t>
  </si>
  <si>
    <t>Copias de planos (3 juegos) y otros</t>
  </si>
  <si>
    <t>MINUTA DE INDEPENDIZACIÓN Y REGLAMENTO INTERNO</t>
  </si>
  <si>
    <t>Elaboración de planos de Independización, Memoria Descriptiva
 y Reglamento Interno</t>
  </si>
  <si>
    <t>Copias de Planos y Documentos</t>
  </si>
  <si>
    <t>ESCRITURA PÚBLICA DE INDEPENDIZACIÓN Y REGLAMENTO INTERNO</t>
  </si>
  <si>
    <t>Escritura Pública de Independización y Reglamento Interno en Notaría Paino</t>
  </si>
  <si>
    <t>SANEAMIENTO LEGAL</t>
  </si>
  <si>
    <t>DOCUMENTOS LEGALES</t>
  </si>
  <si>
    <t>Inscripción en RR.PP.</t>
  </si>
  <si>
    <t>Otros documentos legales</t>
  </si>
  <si>
    <t>SANEAMIENTO TRIBUTARIO</t>
  </si>
  <si>
    <t>Pago de Arbitros Municipales</t>
  </si>
  <si>
    <t>Pago de Impuesto Predial</t>
  </si>
  <si>
    <t>D.J. de Finalización de Obra</t>
  </si>
  <si>
    <t>D.J. de Independización de Unidades Inmobiliarias</t>
  </si>
  <si>
    <t>D.J. de "Bajas por Transferencia"</t>
  </si>
  <si>
    <t>año</t>
  </si>
  <si>
    <t>CONSTRUCCIÓN</t>
  </si>
  <si>
    <t>PAQUETES DE TRABAJO</t>
  </si>
  <si>
    <t>CONSTRUCCIÓN CON IGV</t>
  </si>
  <si>
    <t>ESTRUCTURAS</t>
  </si>
  <si>
    <t>ARQUITECTURA</t>
  </si>
  <si>
    <t>INSTALACIONES SANITARIAS</t>
  </si>
  <si>
    <t>INSTALACIONES ELÉCTRICAS Y DE COMUNICACIONES</t>
  </si>
  <si>
    <t>INSTALACIONES MECÁNICAS</t>
  </si>
  <si>
    <t>$ x m²</t>
  </si>
  <si>
    <t>EQUIPAMIENTO</t>
  </si>
  <si>
    <t>GASTOS GENERALES</t>
  </si>
  <si>
    <t>IGV</t>
  </si>
  <si>
    <t>$/m²</t>
  </si>
  <si>
    <t>PRECIO C/ IGV</t>
  </si>
  <si>
    <t>TOTALES</t>
  </si>
  <si>
    <t>ETAPA</t>
  </si>
  <si>
    <t>Pre construcción</t>
  </si>
  <si>
    <t>Construcción</t>
  </si>
  <si>
    <t>Post construcción</t>
  </si>
  <si>
    <t>meses</t>
  </si>
  <si>
    <t>GESTION DEL PROYECTO</t>
  </si>
  <si>
    <t>RENUMERACIÓN DEL EQUIPO DE GESTIÓN</t>
  </si>
  <si>
    <t>Personal</t>
  </si>
  <si>
    <t>mes</t>
  </si>
  <si>
    <t>GASTOS DE OFICINA</t>
  </si>
  <si>
    <t>Estimados</t>
  </si>
  <si>
    <t>COMERCIALIZACIÓN</t>
  </si>
  <si>
    <t>Lanzamiento</t>
  </si>
  <si>
    <t>Mantenimiento</t>
  </si>
  <si>
    <t>Cierre</t>
  </si>
  <si>
    <t>ETAPA DE COMERCIALIZACIÓN</t>
  </si>
  <si>
    <t>SUBTOTAL</t>
  </si>
  <si>
    <t>SALA DE VENTAS PILOTO</t>
  </si>
  <si>
    <t>CONSTRUCCIÓN SALA DE VENTAS</t>
  </si>
  <si>
    <t>Diseño arquitectónico e interiores</t>
  </si>
  <si>
    <t>Licencia (Construcción y funcionamiento)</t>
  </si>
  <si>
    <t>Acondicionamiento local existente</t>
  </si>
  <si>
    <t>Equipamiento, Mobiliario y útiles de escritorio</t>
  </si>
  <si>
    <t>Utiles de escritorio</t>
  </si>
  <si>
    <t>DEPARTAMENTO PILOTO</t>
  </si>
  <si>
    <t>Diseño de interiores</t>
  </si>
  <si>
    <t>Construcción piloto drywall</t>
  </si>
  <si>
    <t>Equipamiento, Mobiliario y otros</t>
  </si>
  <si>
    <t>MANTENIMIENTO DE SALA DE VENTAS</t>
  </si>
  <si>
    <t>SERVICIOS PÚBLICOS</t>
  </si>
  <si>
    <t>Energía Eléctrica</t>
  </si>
  <si>
    <t>Teléfonos</t>
  </si>
  <si>
    <t>Internet</t>
  </si>
  <si>
    <t>Nextel</t>
  </si>
  <si>
    <t>SEGURIDAD</t>
  </si>
  <si>
    <t>Sistema de alarma</t>
  </si>
  <si>
    <t>Guardianía</t>
  </si>
  <si>
    <t>Valor de m² de Proyecto</t>
  </si>
  <si>
    <t>COMUNICACIONES FASE DE LANZAMIENTO</t>
  </si>
  <si>
    <t>MATERIAL PARA PUBLICIDAD</t>
  </si>
  <si>
    <t>Perspectivas, plantas amobladas</t>
  </si>
  <si>
    <t>Visita virtual 3d</t>
  </si>
  <si>
    <t>Brochure</t>
  </si>
  <si>
    <t>Folleto</t>
  </si>
  <si>
    <t>Diagramación de Gigantografías</t>
  </si>
  <si>
    <t>Maqueta 1/75</t>
  </si>
  <si>
    <t>millar</t>
  </si>
  <si>
    <t>PUBLICIDAD EXTERIOR AL EDIFICIO</t>
  </si>
  <si>
    <t>Tratamiento de cerco de obra</t>
  </si>
  <si>
    <t>Carteles o Panel - incl. Estructura</t>
  </si>
  <si>
    <t>Baners</t>
  </si>
  <si>
    <t>Banderolas</t>
  </si>
  <si>
    <t>un</t>
  </si>
  <si>
    <t xml:space="preserve">Aviso de lanzamiento en El Comercio </t>
  </si>
  <si>
    <t xml:space="preserve">Anuncios en El Comercio </t>
  </si>
  <si>
    <t>Aviso de lanzamiento en otro diario</t>
  </si>
  <si>
    <t>VOLANTEO</t>
  </si>
  <si>
    <t>Impresión Volantes</t>
  </si>
  <si>
    <t>Reparto</t>
  </si>
  <si>
    <t>PORTALES INMOBILIARIOS</t>
  </si>
  <si>
    <t>Portal Inmobiliario del Banco</t>
  </si>
  <si>
    <t>Otros Portales</t>
  </si>
  <si>
    <t>PROMOCIONES DE VENTAS</t>
  </si>
  <si>
    <t>Feria Inmobiliaria</t>
  </si>
  <si>
    <t>RELACIONES PÚBLICAS</t>
  </si>
  <si>
    <t>Evento de lanzamiento</t>
  </si>
  <si>
    <t>Abre puertas</t>
  </si>
  <si>
    <t>Presentaciones especiales</t>
  </si>
  <si>
    <t>PÁGINA WEB</t>
  </si>
  <si>
    <t>Diseño para lanzamiento</t>
  </si>
  <si>
    <t>Mantenimiento en esta fase</t>
  </si>
  <si>
    <t>MAILING</t>
  </si>
  <si>
    <t>Servicio de mailing de lanzamiento</t>
  </si>
  <si>
    <t>Servicio de mailing de mantenimiento</t>
  </si>
  <si>
    <t>COMUNICACIONES EN FASE DE MANTENIMIENTO</t>
  </si>
  <si>
    <t>PUBLICIDAD EN DIARIOS Y REVISTAS (según el plan de medios)</t>
  </si>
  <si>
    <t>Anuncios de mantenimiento en diarios 3x2</t>
  </si>
  <si>
    <t>Volanteo</t>
  </si>
  <si>
    <t>COMUNICACIONES EN FASE DE CIERRE</t>
  </si>
  <si>
    <t>Anuncios de cierrre en diarios 6x3</t>
  </si>
  <si>
    <t>Anuncios de cierrre en diarios 3X2</t>
  </si>
  <si>
    <t>PROMOCIÓN DE VENTAS Y MERCHANDISING</t>
  </si>
  <si>
    <t>Llaveros para departamentos</t>
  </si>
  <si>
    <t>PROMOCIÓN (según plan de promociones)</t>
  </si>
  <si>
    <t>MERCHANDISING</t>
  </si>
  <si>
    <t>Regalos para entrega de departamento</t>
  </si>
  <si>
    <t>EVENTOS</t>
  </si>
  <si>
    <t>Primera reunión de Junta de Propietarios</t>
  </si>
  <si>
    <t>FUERZA DE VENTAS</t>
  </si>
  <si>
    <t>RENUMERACIÓN BÁSICA</t>
  </si>
  <si>
    <t>Renumeración Superior de Ventas - 50%</t>
  </si>
  <si>
    <t>Renumeración Asesores de Ventas - 2 personas</t>
  </si>
  <si>
    <t>COMISIÓN Y BONOS</t>
  </si>
  <si>
    <t>Renumeración Asesores de Ventas</t>
  </si>
  <si>
    <t>ENTREGA DE DEPARTAMENTOS Y ZONAS COMUNES</t>
  </si>
  <si>
    <t>MANUAL DE MANTENIMIENTO DEL EDIFICIO</t>
  </si>
  <si>
    <t>ENTREGA DE DEPARTAMENTOS</t>
  </si>
  <si>
    <t>Levantamento de observaciones</t>
  </si>
  <si>
    <t>Bolsa de paquete de Bienvenida</t>
  </si>
  <si>
    <t>CON IGV</t>
  </si>
  <si>
    <t>comprobación</t>
  </si>
  <si>
    <r>
      <t xml:space="preserve">Precio estimado de </t>
    </r>
    <r>
      <rPr>
        <b/>
        <sz val="11"/>
        <color theme="1"/>
        <rFont val="Futura LT Light"/>
      </rPr>
      <t>m²</t>
    </r>
    <r>
      <rPr>
        <sz val="11"/>
        <color theme="1"/>
        <rFont val="Futura LT Light"/>
      </rPr>
      <t xml:space="preserve"> de construcción sin IGV incluido</t>
    </r>
  </si>
  <si>
    <r>
      <t xml:space="preserve">Precio estimado de </t>
    </r>
    <r>
      <rPr>
        <b/>
        <sz val="11"/>
        <color theme="1"/>
        <rFont val="Futura LT Light"/>
      </rPr>
      <t>m²</t>
    </r>
    <r>
      <rPr>
        <sz val="11"/>
        <color theme="1"/>
        <rFont val="Futura LT Light"/>
      </rPr>
      <t xml:space="preserve"> de construcción con IGV incluido</t>
    </r>
  </si>
  <si>
    <t>REFERENCIA:</t>
  </si>
  <si>
    <t>0019-1110-Arenales937</t>
  </si>
  <si>
    <t>UBICACIÓN:</t>
  </si>
  <si>
    <t>FECHA:</t>
  </si>
  <si>
    <t>AVENIDA GENERAL JUAN ANTONIO ÁLVAREZ DE ARENALES 931-937. LIMA, PERÚ,</t>
  </si>
  <si>
    <t>ESTRUCTURA DE COSTOS DEL PROYECTO</t>
  </si>
  <si>
    <t>DESCRIPCIÓN DE LOS ENTREGABLES DEL PROYECTO</t>
  </si>
  <si>
    <t>COSTOS</t>
  </si>
  <si>
    <t>GASTOS</t>
  </si>
  <si>
    <t>PROYECTO (ESTUDIO Y REVISIONES)</t>
  </si>
  <si>
    <t>ESTRUCTURA DE LOS INGRESOS POR VENTAS DEL PROYECTO</t>
  </si>
  <si>
    <t>ÁREA PROMEDIO</t>
  </si>
  <si>
    <t>PRECIO x UNIDAD</t>
  </si>
  <si>
    <t>DEPARTAMENTOS</t>
  </si>
  <si>
    <t>ESTACIONAMIENTOS</t>
  </si>
  <si>
    <t>DEPÓSITOS</t>
  </si>
  <si>
    <t>CANTIDADES</t>
  </si>
  <si>
    <t>SUB-TOTAL</t>
  </si>
  <si>
    <t>ESTRUCTURA DE CAPITAL</t>
  </si>
  <si>
    <t>PROPUESTA</t>
  </si>
  <si>
    <t>DESCRIPCIÓN</t>
  </si>
  <si>
    <t>MONTO</t>
  </si>
  <si>
    <t>Deuda-Crédito Bancario</t>
  </si>
  <si>
    <t>Otros aportes (Pre-ventas)</t>
  </si>
  <si>
    <t>Capital Propio (aporte del Promotor)</t>
  </si>
  <si>
    <t>TOTAL DE CAPITAL A INVERTIR</t>
  </si>
  <si>
    <t>GASTOS FINANCIEROS (APROXIMADOS)</t>
  </si>
  <si>
    <t>Importe del Crédito</t>
  </si>
  <si>
    <t>Tasa</t>
  </si>
  <si>
    <t>Tiempo (meses)</t>
  </si>
  <si>
    <t>DATOS</t>
  </si>
  <si>
    <t>INTERESES</t>
  </si>
  <si>
    <t>PROYECCIÓN DE ESTADOS FINANCIEROS</t>
  </si>
  <si>
    <t>ESTADO DE GANANCIAS Y PERDIDAS</t>
  </si>
  <si>
    <t>FLUJO ECONÓMICO</t>
  </si>
  <si>
    <t>FLUJO FINANCIERO</t>
  </si>
  <si>
    <t>INCIDENCIA</t>
  </si>
  <si>
    <t>Total de Ventas</t>
  </si>
  <si>
    <t>(-) Total de Costos</t>
  </si>
  <si>
    <t>Utilidad Bruta</t>
  </si>
  <si>
    <t>(-) Gastos de Administración y Ventas</t>
  </si>
  <si>
    <t>Utilidad Operativa - EBITDA</t>
  </si>
  <si>
    <t>(-) Gastos Financieros</t>
  </si>
  <si>
    <t>Utilidad antes de impuestos</t>
  </si>
  <si>
    <t>(-) Impuesto a la Renta</t>
  </si>
  <si>
    <t>Utilidad Neta</t>
  </si>
  <si>
    <t>EVALUACIÓN PRELIMINAR</t>
  </si>
  <si>
    <t>RATIOS CONTABLES</t>
  </si>
  <si>
    <t>Margen de Utilidad Operativa / Total de Ventas</t>
  </si>
  <si>
    <t>Margen de Utilidad Bruta       / Total de Ventas</t>
  </si>
  <si>
    <t>Margen de Utilidad Neta       / Total de Ventas</t>
  </si>
  <si>
    <t>RATIO DE VALOR AGREGADO</t>
  </si>
  <si>
    <t>Margen de Utilidad Neta       / Total de Inversión</t>
  </si>
  <si>
    <t>Margen de Utilidad Neta       / Capital Propio</t>
  </si>
  <si>
    <t>ANALISIS E IMPACTO DEL IGV</t>
  </si>
  <si>
    <t>IMPORTE IGV</t>
  </si>
  <si>
    <t>TASA</t>
  </si>
  <si>
    <t>MONTO IMPOSIBLE</t>
  </si>
  <si>
    <t>IGV por Ventas</t>
  </si>
  <si>
    <t>IGV por Compras</t>
  </si>
  <si>
    <t>Crédito Fiscal (- a favor, + en contra)</t>
  </si>
  <si>
    <t>Total Costos y Gastos</t>
  </si>
  <si>
    <t>Total Gastos Financieros</t>
  </si>
  <si>
    <t>Total General</t>
  </si>
  <si>
    <t>Total Área Vendible</t>
  </si>
  <si>
    <t>Precio Punto de Equilibrio x m² (Incluido estacionamiento)</t>
  </si>
  <si>
    <t>Total Ventas</t>
  </si>
  <si>
    <t>Precio Promedio de Ventas x m² (Incluido estacionamientos)</t>
  </si>
  <si>
    <t>Relación de Precios</t>
  </si>
  <si>
    <t>VALOR ESTIMADO x m²</t>
  </si>
  <si>
    <t>V.E. EST.</t>
  </si>
  <si>
    <t>V.E. DEP.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</si>
</sst>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 ;\-#,##0\ "/>
    <numFmt numFmtId="165" formatCode="_-[$$-540A]* #,##0.00_ ;_-[$$-540A]* \-#,##0.00\ ;_-[$$-540A]* &quot;-&quot;??_ ;_-@_ "/>
    <numFmt numFmtId="166" formatCode="#,##0.00_ ;\-#,##0.00\ "/>
    <numFmt numFmtId="167" formatCode="0.000"/>
    <numFmt numFmtId="168" formatCode="0.0000"/>
    <numFmt numFmtId="169" formatCode="0.00000%"/>
    <numFmt numFmtId="170" formatCode="_-* #,##0\ _€_-;\-* #,##0\ _€_-;_-* &quot;-&quot;??\ _€_-;_-@_-"/>
    <numFmt numFmtId="171" formatCode="0.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utura LT Light"/>
    </font>
    <font>
      <b/>
      <sz val="11"/>
      <color theme="1"/>
      <name val="Futura LT Light"/>
    </font>
    <font>
      <sz val="11"/>
      <name val="Futura LT Light"/>
    </font>
    <font>
      <b/>
      <sz val="11"/>
      <name val="Futura LT Light"/>
    </font>
    <font>
      <sz val="11"/>
      <color theme="0"/>
      <name val="Futura LT Light"/>
    </font>
    <font>
      <b/>
      <sz val="11"/>
      <color theme="0"/>
      <name val="Futura LT Light"/>
    </font>
    <font>
      <sz val="11"/>
      <color theme="0"/>
      <name val="Calibri"/>
      <family val="2"/>
      <scheme val="minor"/>
    </font>
    <font>
      <sz val="11"/>
      <color theme="2" tint="-0.499984740745262"/>
      <name val="Futura LT Light"/>
    </font>
    <font>
      <sz val="11"/>
      <color theme="2" tint="-0.499984740745262"/>
      <name val="Calibri"/>
      <family val="2"/>
      <scheme val="minor"/>
    </font>
    <font>
      <b/>
      <sz val="10"/>
      <color theme="1"/>
      <name val="Futura LT Light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5" borderId="0" xfId="0" applyFont="1" applyFill="1"/>
    <xf numFmtId="2" fontId="2" fillId="5" borderId="2" xfId="0" applyNumberFormat="1" applyFont="1" applyFill="1" applyBorder="1"/>
    <xf numFmtId="0" fontId="2" fillId="5" borderId="2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/>
    <xf numFmtId="0" fontId="2" fillId="5" borderId="3" xfId="0" applyFont="1" applyFill="1" applyBorder="1" applyAlignment="1">
      <alignment horizontal="center" vertical="center"/>
    </xf>
    <xf numFmtId="2" fontId="2" fillId="5" borderId="0" xfId="0" applyNumberFormat="1" applyFont="1" applyFill="1" applyBorder="1"/>
    <xf numFmtId="0" fontId="2" fillId="5" borderId="0" xfId="0" applyFont="1" applyFill="1" applyBorder="1"/>
    <xf numFmtId="0" fontId="2" fillId="5" borderId="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2" fontId="6" fillId="2" borderId="0" xfId="0" applyNumberFormat="1" applyFont="1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2" fontId="2" fillId="5" borderId="6" xfId="0" applyNumberFormat="1" applyFont="1" applyFill="1" applyBorder="1"/>
    <xf numFmtId="0" fontId="2" fillId="5" borderId="6" xfId="0" applyFont="1" applyFill="1" applyBorder="1"/>
    <xf numFmtId="0" fontId="2" fillId="5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4" fontId="2" fillId="5" borderId="6" xfId="1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6" borderId="0" xfId="0" applyFont="1" applyFill="1" applyBorder="1"/>
    <xf numFmtId="2" fontId="2" fillId="3" borderId="0" xfId="0" applyNumberFormat="1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2" fillId="5" borderId="3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2" fontId="2" fillId="5" borderId="3" xfId="0" applyNumberFormat="1" applyFont="1" applyFill="1" applyBorder="1" applyAlignment="1">
      <alignment horizontal="right" vertical="center"/>
    </xf>
    <xf numFmtId="2" fontId="2" fillId="5" borderId="2" xfId="0" applyNumberFormat="1" applyFont="1" applyFill="1" applyBorder="1" applyAlignment="1">
      <alignment horizontal="right" vertical="center"/>
    </xf>
    <xf numFmtId="1" fontId="2" fillId="5" borderId="3" xfId="0" applyNumberFormat="1" applyFont="1" applyFill="1" applyBorder="1" applyAlignment="1">
      <alignment horizontal="right" vertical="center"/>
    </xf>
    <xf numFmtId="2" fontId="3" fillId="5" borderId="1" xfId="0" applyNumberFormat="1" applyFont="1" applyFill="1" applyBorder="1" applyAlignment="1">
      <alignment horizontal="right" vertical="center"/>
    </xf>
    <xf numFmtId="165" fontId="2" fillId="5" borderId="2" xfId="2" applyNumberFormat="1" applyFont="1" applyFill="1" applyBorder="1" applyAlignment="1">
      <alignment horizontal="center" vertical="center"/>
    </xf>
    <xf numFmtId="165" fontId="2" fillId="5" borderId="3" xfId="2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2" fontId="2" fillId="5" borderId="6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2" xfId="0" applyFont="1" applyFill="1" applyBorder="1"/>
    <xf numFmtId="0" fontId="2" fillId="5" borderId="7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9" xfId="0" applyFont="1" applyFill="1" applyBorder="1"/>
    <xf numFmtId="0" fontId="2" fillId="5" borderId="10" xfId="0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horizontal="center" vertical="center"/>
    </xf>
    <xf numFmtId="2" fontId="2" fillId="5" borderId="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right" vertical="center"/>
    </xf>
    <xf numFmtId="165" fontId="2" fillId="5" borderId="6" xfId="0" applyNumberFormat="1" applyFont="1" applyFill="1" applyBorder="1" applyAlignment="1">
      <alignment horizontal="center" vertical="center"/>
    </xf>
    <xf numFmtId="0" fontId="2" fillId="5" borderId="8" xfId="0" applyFont="1" applyFill="1" applyBorder="1"/>
    <xf numFmtId="0" fontId="2" fillId="5" borderId="4" xfId="0" applyFont="1" applyFill="1" applyBorder="1"/>
    <xf numFmtId="0" fontId="2" fillId="5" borderId="5" xfId="0" applyFont="1" applyFill="1" applyBorder="1"/>
    <xf numFmtId="0" fontId="3" fillId="4" borderId="0" xfId="0" applyFont="1" applyFill="1" applyBorder="1" applyAlignment="1">
      <alignment horizontal="center" vertical="center"/>
    </xf>
    <xf numFmtId="2" fontId="3" fillId="6" borderId="0" xfId="0" applyNumberFormat="1" applyFont="1" applyFill="1" applyBorder="1"/>
    <xf numFmtId="2" fontId="2" fillId="6" borderId="0" xfId="0" applyNumberFormat="1" applyFont="1" applyFill="1" applyBorder="1"/>
    <xf numFmtId="0" fontId="3" fillId="6" borderId="0" xfId="0" applyFont="1" applyFill="1" applyBorder="1"/>
    <xf numFmtId="0" fontId="2" fillId="6" borderId="0" xfId="0" applyFont="1" applyFill="1" applyBorder="1" applyAlignment="1">
      <alignment horizontal="center" vertical="center"/>
    </xf>
    <xf numFmtId="2" fontId="3" fillId="5" borderId="0" xfId="0" applyNumberFormat="1" applyFont="1" applyFill="1" applyBorder="1"/>
    <xf numFmtId="0" fontId="3" fillId="5" borderId="0" xfId="0" applyFont="1" applyFill="1" applyBorder="1"/>
    <xf numFmtId="0" fontId="2" fillId="3" borderId="0" xfId="0" applyFont="1" applyFill="1" applyBorder="1" applyAlignment="1">
      <alignment horizontal="left" vertical="center"/>
    </xf>
    <xf numFmtId="0" fontId="2" fillId="5" borderId="10" xfId="0" applyFont="1" applyFill="1" applyBorder="1"/>
    <xf numFmtId="166" fontId="2" fillId="5" borderId="6" xfId="1" applyNumberFormat="1" applyFont="1" applyFill="1" applyBorder="1" applyAlignment="1">
      <alignment horizontal="center" vertical="center"/>
    </xf>
    <xf numFmtId="0" fontId="3" fillId="5" borderId="3" xfId="0" applyFont="1" applyFill="1" applyBorder="1"/>
    <xf numFmtId="165" fontId="2" fillId="5" borderId="0" xfId="2" applyNumberFormat="1" applyFont="1" applyFill="1" applyBorder="1" applyAlignment="1">
      <alignment horizontal="center" vertical="center"/>
    </xf>
    <xf numFmtId="165" fontId="4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/>
    <xf numFmtId="0" fontId="5" fillId="5" borderId="3" xfId="0" applyFont="1" applyFill="1" applyBorder="1"/>
    <xf numFmtId="165" fontId="5" fillId="5" borderId="3" xfId="0" applyNumberFormat="1" applyFont="1" applyFill="1" applyBorder="1"/>
    <xf numFmtId="0" fontId="2" fillId="5" borderId="3" xfId="0" applyFont="1" applyFill="1" applyBorder="1" applyAlignment="1">
      <alignment horizontal="right"/>
    </xf>
    <xf numFmtId="165" fontId="2" fillId="5" borderId="6" xfId="0" applyNumberFormat="1" applyFont="1" applyFill="1" applyBorder="1" applyAlignment="1">
      <alignment horizontal="right" vertical="center"/>
    </xf>
    <xf numFmtId="165" fontId="2" fillId="5" borderId="6" xfId="0" applyNumberFormat="1" applyFont="1" applyFill="1" applyBorder="1" applyAlignment="1">
      <alignment vertical="center"/>
    </xf>
    <xf numFmtId="166" fontId="2" fillId="5" borderId="6" xfId="1" applyNumberFormat="1" applyFont="1" applyFill="1" applyBorder="1" applyAlignment="1">
      <alignment horizontal="right" vertical="center"/>
    </xf>
    <xf numFmtId="165" fontId="4" fillId="5" borderId="3" xfId="0" applyNumberFormat="1" applyFont="1" applyFill="1" applyBorder="1"/>
    <xf numFmtId="165" fontId="5" fillId="5" borderId="1" xfId="0" applyNumberFormat="1" applyFont="1" applyFill="1" applyBorder="1" applyAlignment="1">
      <alignment horizontal="center" vertical="center"/>
    </xf>
    <xf numFmtId="165" fontId="2" fillId="5" borderId="3" xfId="0" applyNumberFormat="1" applyFont="1" applyFill="1" applyBorder="1" applyAlignment="1">
      <alignment horizontal="right" vertical="center"/>
    </xf>
    <xf numFmtId="165" fontId="5" fillId="5" borderId="0" xfId="0" applyNumberFormat="1" applyFont="1" applyFill="1" applyBorder="1"/>
    <xf numFmtId="166" fontId="2" fillId="5" borderId="3" xfId="1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9" fontId="2" fillId="5" borderId="3" xfId="3" applyFont="1" applyFill="1" applyBorder="1" applyAlignment="1">
      <alignment horizontal="right" vertical="center"/>
    </xf>
    <xf numFmtId="164" fontId="2" fillId="5" borderId="6" xfId="1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/>
    </xf>
    <xf numFmtId="0" fontId="4" fillId="5" borderId="3" xfId="0" applyFont="1" applyFill="1" applyBorder="1"/>
    <xf numFmtId="165" fontId="2" fillId="5" borderId="3" xfId="0" applyNumberFormat="1" applyFont="1" applyFill="1" applyBorder="1"/>
    <xf numFmtId="0" fontId="3" fillId="4" borderId="0" xfId="0" applyFont="1" applyFill="1" applyBorder="1" applyAlignment="1">
      <alignment horizontal="center" vertical="center"/>
    </xf>
    <xf numFmtId="165" fontId="2" fillId="5" borderId="3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/>
    </xf>
    <xf numFmtId="2" fontId="2" fillId="5" borderId="3" xfId="0" applyNumberFormat="1" applyFont="1" applyFill="1" applyBorder="1"/>
    <xf numFmtId="0" fontId="2" fillId="0" borderId="6" xfId="0" applyFont="1" applyBorder="1"/>
    <xf numFmtId="0" fontId="2" fillId="0" borderId="0" xfId="0" applyFont="1" applyBorder="1"/>
    <xf numFmtId="0" fontId="3" fillId="4" borderId="0" xfId="0" applyFont="1" applyFill="1" applyBorder="1" applyAlignment="1">
      <alignment horizontal="center" vertical="center"/>
    </xf>
    <xf numFmtId="167" fontId="2" fillId="5" borderId="3" xfId="0" applyNumberFormat="1" applyFont="1" applyFill="1" applyBorder="1" applyAlignment="1">
      <alignment horizontal="right" vertical="center"/>
    </xf>
    <xf numFmtId="168" fontId="2" fillId="5" borderId="3" xfId="0" applyNumberFormat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165" fontId="2" fillId="5" borderId="6" xfId="2" applyNumberFormat="1" applyFont="1" applyFill="1" applyBorder="1" applyAlignment="1">
      <alignment horizontal="center" vertical="center"/>
    </xf>
    <xf numFmtId="165" fontId="5" fillId="5" borderId="6" xfId="0" applyNumberFormat="1" applyFont="1" applyFill="1" applyBorder="1"/>
    <xf numFmtId="165" fontId="5" fillId="5" borderId="2" xfId="0" applyNumberFormat="1" applyFont="1" applyFill="1" applyBorder="1"/>
    <xf numFmtId="165" fontId="5" fillId="5" borderId="3" xfId="0" applyNumberFormat="1" applyFont="1" applyFill="1" applyBorder="1" applyAlignment="1">
      <alignment horizontal="center" vertical="center"/>
    </xf>
    <xf numFmtId="165" fontId="5" fillId="5" borderId="0" xfId="0" applyNumberFormat="1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right" vertical="center"/>
    </xf>
    <xf numFmtId="2" fontId="3" fillId="3" borderId="0" xfId="0" applyNumberFormat="1" applyFont="1" applyFill="1" applyBorder="1"/>
    <xf numFmtId="2" fontId="7" fillId="2" borderId="0" xfId="0" applyNumberFormat="1" applyFont="1" applyFill="1" applyBorder="1"/>
    <xf numFmtId="165" fontId="5" fillId="5" borderId="2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/>
    </xf>
    <xf numFmtId="2" fontId="2" fillId="5" borderId="0" xfId="0" applyNumberFormat="1" applyFont="1" applyFill="1" applyBorder="1" applyAlignment="1">
      <alignment horizontal="right" vertical="center"/>
    </xf>
    <xf numFmtId="0" fontId="2" fillId="6" borderId="5" xfId="0" applyFont="1" applyFill="1" applyBorder="1" applyAlignment="1">
      <alignment horizontal="center" vertical="center"/>
    </xf>
    <xf numFmtId="2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165" fontId="5" fillId="5" borderId="6" xfId="0" applyNumberFormat="1" applyFont="1" applyFill="1" applyBorder="1" applyAlignment="1">
      <alignment horizontal="center" vertical="center"/>
    </xf>
    <xf numFmtId="9" fontId="4" fillId="5" borderId="3" xfId="3" applyFont="1" applyFill="1" applyBorder="1"/>
    <xf numFmtId="10" fontId="4" fillId="5" borderId="3" xfId="3" applyNumberFormat="1" applyFont="1" applyFill="1" applyBorder="1"/>
    <xf numFmtId="165" fontId="0" fillId="0" borderId="0" xfId="0" applyNumberFormat="1"/>
    <xf numFmtId="0" fontId="0" fillId="0" borderId="0" xfId="0" applyBorder="1"/>
    <xf numFmtId="165" fontId="2" fillId="5" borderId="0" xfId="0" applyNumberFormat="1" applyFont="1" applyFill="1" applyBorder="1" applyAlignment="1">
      <alignment horizontal="right" vertical="center"/>
    </xf>
    <xf numFmtId="0" fontId="0" fillId="5" borderId="3" xfId="0" applyFill="1" applyBorder="1"/>
    <xf numFmtId="43" fontId="5" fillId="5" borderId="1" xfId="1" applyFont="1" applyFill="1" applyBorder="1" applyAlignment="1">
      <alignment horizontal="center" vertical="center"/>
    </xf>
    <xf numFmtId="166" fontId="2" fillId="5" borderId="3" xfId="1" applyNumberFormat="1" applyFont="1" applyFill="1" applyBorder="1" applyAlignment="1">
      <alignment horizontal="center" vertical="center"/>
    </xf>
    <xf numFmtId="170" fontId="2" fillId="5" borderId="3" xfId="1" applyNumberFormat="1" applyFont="1" applyFill="1" applyBorder="1" applyAlignment="1">
      <alignment horizontal="right" vertical="center"/>
    </xf>
    <xf numFmtId="170" fontId="5" fillId="5" borderId="1" xfId="1" applyNumberFormat="1" applyFont="1" applyFill="1" applyBorder="1" applyAlignment="1">
      <alignment horizontal="center" vertical="center"/>
    </xf>
    <xf numFmtId="0" fontId="4" fillId="5" borderId="2" xfId="0" applyFont="1" applyFill="1" applyBorder="1"/>
    <xf numFmtId="165" fontId="2" fillId="5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right"/>
    </xf>
    <xf numFmtId="0" fontId="3" fillId="5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9" fontId="2" fillId="0" borderId="0" xfId="3" applyFont="1" applyFill="1" applyBorder="1" applyAlignment="1">
      <alignment horizontal="center" vertical="center"/>
    </xf>
    <xf numFmtId="10" fontId="0" fillId="0" borderId="0" xfId="0" applyNumberFormat="1"/>
    <xf numFmtId="171" fontId="8" fillId="0" borderId="0" xfId="0" applyNumberFormat="1" applyFont="1" applyFill="1"/>
    <xf numFmtId="10" fontId="2" fillId="5" borderId="3" xfId="3" applyNumberFormat="1" applyFont="1" applyFill="1" applyBorder="1" applyAlignment="1">
      <alignment horizontal="right" vertical="center"/>
    </xf>
    <xf numFmtId="165" fontId="4" fillId="5" borderId="2" xfId="0" applyNumberFormat="1" applyFont="1" applyFill="1" applyBorder="1"/>
    <xf numFmtId="170" fontId="3" fillId="5" borderId="0" xfId="1" applyNumberFormat="1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165" fontId="2" fillId="5" borderId="0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/>
    <xf numFmtId="0" fontId="3" fillId="5" borderId="2" xfId="0" applyFont="1" applyFill="1" applyBorder="1"/>
    <xf numFmtId="0" fontId="5" fillId="5" borderId="6" xfId="0" applyFont="1" applyFill="1" applyBorder="1"/>
    <xf numFmtId="10" fontId="9" fillId="5" borderId="3" xfId="0" applyNumberFormat="1" applyFont="1" applyFill="1" applyBorder="1" applyAlignment="1">
      <alignment horizontal="center" vertical="center"/>
    </xf>
    <xf numFmtId="10" fontId="9" fillId="5" borderId="3" xfId="3" applyNumberFormat="1" applyFont="1" applyFill="1" applyBorder="1" applyAlignment="1">
      <alignment horizontal="center" vertical="center"/>
    </xf>
    <xf numFmtId="0" fontId="10" fillId="0" borderId="0" xfId="0" applyFont="1"/>
    <xf numFmtId="0" fontId="9" fillId="0" borderId="0" xfId="0" applyFont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/>
    <xf numFmtId="165" fontId="9" fillId="0" borderId="13" xfId="0" applyNumberFormat="1" applyFont="1" applyFill="1" applyBorder="1" applyAlignment="1">
      <alignment horizontal="center" vertical="center"/>
    </xf>
    <xf numFmtId="0" fontId="9" fillId="0" borderId="13" xfId="0" applyFont="1" applyFill="1" applyBorder="1"/>
    <xf numFmtId="169" fontId="9" fillId="0" borderId="13" xfId="0" applyNumberFormat="1" applyFont="1" applyFill="1" applyBorder="1"/>
    <xf numFmtId="0" fontId="9" fillId="0" borderId="13" xfId="0" applyFont="1" applyBorder="1"/>
    <xf numFmtId="9" fontId="9" fillId="0" borderId="13" xfId="3" applyFont="1" applyBorder="1"/>
    <xf numFmtId="165" fontId="9" fillId="0" borderId="13" xfId="0" applyNumberFormat="1" applyFont="1" applyFill="1" applyBorder="1" applyAlignment="1">
      <alignment horizontal="right" vertical="center"/>
    </xf>
    <xf numFmtId="165" fontId="9" fillId="0" borderId="13" xfId="0" applyNumberFormat="1" applyFont="1" applyBorder="1"/>
    <xf numFmtId="0" fontId="3" fillId="5" borderId="6" xfId="0" applyFont="1" applyFill="1" applyBorder="1"/>
    <xf numFmtId="0" fontId="3" fillId="5" borderId="4" xfId="0" applyFont="1" applyFill="1" applyBorder="1" applyAlignment="1"/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14" fontId="2" fillId="5" borderId="0" xfId="0" applyNumberFormat="1" applyFont="1" applyFill="1" applyBorder="1" applyAlignment="1">
      <alignment horizontal="left" vertical="center"/>
    </xf>
    <xf numFmtId="0" fontId="0" fillId="5" borderId="0" xfId="0" applyFill="1"/>
    <xf numFmtId="0" fontId="0" fillId="5" borderId="7" xfId="0" applyFill="1" applyBorder="1"/>
    <xf numFmtId="0" fontId="0" fillId="5" borderId="6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9" xfId="0" applyFill="1" applyBorder="1"/>
    <xf numFmtId="0" fontId="0" fillId="5" borderId="2" xfId="0" applyFill="1" applyBorder="1"/>
    <xf numFmtId="0" fontId="0" fillId="5" borderId="10" xfId="0" applyFill="1" applyBorder="1"/>
    <xf numFmtId="0" fontId="2" fillId="5" borderId="5" xfId="0" applyFont="1" applyFill="1" applyBorder="1" applyAlignment="1">
      <alignment horizontal="left" vertical="center" wrapText="1"/>
    </xf>
    <xf numFmtId="2" fontId="2" fillId="5" borderId="0" xfId="0" applyNumberFormat="1" applyFont="1" applyFill="1" applyBorder="1" applyAlignment="1"/>
    <xf numFmtId="165" fontId="3" fillId="5" borderId="1" xfId="0" applyNumberFormat="1" applyFont="1" applyFill="1" applyBorder="1" applyAlignment="1">
      <alignment horizontal="right" vertical="center"/>
    </xf>
    <xf numFmtId="2" fontId="7" fillId="5" borderId="4" xfId="0" applyNumberFormat="1" applyFont="1" applyFill="1" applyBorder="1"/>
    <xf numFmtId="0" fontId="6" fillId="5" borderId="5" xfId="0" applyFont="1" applyFill="1" applyBorder="1" applyAlignment="1">
      <alignment horizontal="center" vertical="center"/>
    </xf>
    <xf numFmtId="2" fontId="2" fillId="0" borderId="4" xfId="0" applyNumberFormat="1" applyFont="1" applyBorder="1" applyAlignment="1"/>
    <xf numFmtId="2" fontId="2" fillId="0" borderId="5" xfId="0" applyNumberFormat="1" applyFont="1" applyBorder="1" applyAlignment="1"/>
    <xf numFmtId="2" fontId="2" fillId="5" borderId="4" xfId="0" applyNumberFormat="1" applyFont="1" applyFill="1" applyBorder="1"/>
    <xf numFmtId="2" fontId="3" fillId="5" borderId="5" xfId="0" applyNumberFormat="1" applyFont="1" applyFill="1" applyBorder="1"/>
    <xf numFmtId="0" fontId="2" fillId="5" borderId="5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right" vertical="center"/>
    </xf>
    <xf numFmtId="9" fontId="2" fillId="5" borderId="2" xfId="3" applyFont="1" applyFill="1" applyBorder="1" applyAlignment="1">
      <alignment horizontal="center" vertical="center"/>
    </xf>
    <xf numFmtId="9" fontId="3" fillId="5" borderId="2" xfId="3" applyFont="1" applyFill="1" applyBorder="1" applyAlignment="1">
      <alignment horizontal="center" vertical="center"/>
    </xf>
    <xf numFmtId="10" fontId="2" fillId="5" borderId="2" xfId="3" applyNumberFormat="1" applyFont="1" applyFill="1" applyBorder="1" applyAlignment="1">
      <alignment horizontal="right" vertical="center"/>
    </xf>
    <xf numFmtId="165" fontId="2" fillId="5" borderId="2" xfId="3" applyNumberFormat="1" applyFont="1" applyFill="1" applyBorder="1" applyAlignment="1">
      <alignment horizontal="right" vertical="center"/>
    </xf>
    <xf numFmtId="170" fontId="2" fillId="5" borderId="2" xfId="1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70" fontId="2" fillId="5" borderId="0" xfId="1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center"/>
    </xf>
    <xf numFmtId="165" fontId="2" fillId="5" borderId="3" xfId="3" applyNumberFormat="1" applyFont="1" applyFill="1" applyBorder="1" applyAlignment="1">
      <alignment horizontal="right" vertical="center"/>
    </xf>
    <xf numFmtId="170" fontId="2" fillId="5" borderId="3" xfId="1" applyNumberFormat="1" applyFont="1" applyFill="1" applyBorder="1" applyAlignment="1">
      <alignment vertical="center"/>
    </xf>
    <xf numFmtId="2" fontId="2" fillId="5" borderId="9" xfId="0" applyNumberFormat="1" applyFont="1" applyFill="1" applyBorder="1"/>
    <xf numFmtId="2" fontId="2" fillId="5" borderId="7" xfId="0" applyNumberFormat="1" applyFont="1" applyFill="1" applyBorder="1"/>
    <xf numFmtId="9" fontId="2" fillId="5" borderId="6" xfId="3" applyFont="1" applyFill="1" applyBorder="1" applyAlignment="1">
      <alignment horizontal="center" vertical="center"/>
    </xf>
    <xf numFmtId="0" fontId="3" fillId="3" borderId="0" xfId="0" applyFont="1" applyFill="1" applyBorder="1" applyAlignment="1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9" fontId="2" fillId="5" borderId="3" xfId="3" applyFont="1" applyFill="1" applyBorder="1" applyAlignment="1">
      <alignment horizontal="center" vertical="center"/>
    </xf>
    <xf numFmtId="0" fontId="3" fillId="6" borderId="0" xfId="0" applyFont="1" applyFill="1" applyBorder="1" applyAlignment="1"/>
    <xf numFmtId="0" fontId="3" fillId="4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left" vertical="top" wrapText="1"/>
    </xf>
    <xf numFmtId="2" fontId="2" fillId="0" borderId="0" xfId="0" applyNumberFormat="1" applyFont="1" applyBorder="1" applyAlignment="1">
      <alignment horizontal="center"/>
    </xf>
    <xf numFmtId="2" fontId="3" fillId="4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2" fontId="3" fillId="5" borderId="0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wrapText="1"/>
    </xf>
    <xf numFmtId="0" fontId="2" fillId="5" borderId="6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2" fontId="2" fillId="5" borderId="6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65" fontId="2" fillId="5" borderId="6" xfId="2" applyNumberFormat="1" applyFont="1" applyFill="1" applyBorder="1" applyAlignment="1">
      <alignment horizontal="center" vertical="center"/>
    </xf>
    <xf numFmtId="165" fontId="2" fillId="5" borderId="2" xfId="2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0" fillId="7" borderId="0" xfId="0" applyFill="1"/>
    <xf numFmtId="0" fontId="0" fillId="7" borderId="4" xfId="0" applyFill="1" applyBorder="1"/>
    <xf numFmtId="0" fontId="7" fillId="7" borderId="0" xfId="0" applyFont="1" applyFill="1" applyBorder="1"/>
    <xf numFmtId="2" fontId="6" fillId="7" borderId="0" xfId="0" applyNumberFormat="1" applyFont="1" applyFill="1" applyBorder="1"/>
    <xf numFmtId="0" fontId="6" fillId="7" borderId="0" xfId="0" applyFont="1" applyFill="1" applyBorder="1"/>
    <xf numFmtId="0" fontId="6" fillId="7" borderId="0" xfId="0" applyFont="1" applyFill="1" applyBorder="1" applyAlignment="1">
      <alignment horizontal="center" vertical="center"/>
    </xf>
    <xf numFmtId="0" fontId="0" fillId="7" borderId="5" xfId="0" applyFill="1" applyBorder="1"/>
    <xf numFmtId="0" fontId="5" fillId="7" borderId="0" xfId="0" applyFont="1" applyFill="1" applyBorder="1" applyAlignment="1">
      <alignment horizontal="center"/>
    </xf>
    <xf numFmtId="165" fontId="4" fillId="7" borderId="0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right"/>
    </xf>
    <xf numFmtId="0" fontId="5" fillId="7" borderId="0" xfId="0" applyFont="1" applyFill="1" applyBorder="1" applyAlignment="1">
      <alignment horizontal="right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topLeftCell="A16" workbookViewId="0">
      <selection activeCell="J41" sqref="J41"/>
    </sheetView>
  </sheetViews>
  <sheetFormatPr baseColWidth="10" defaultRowHeight="15" x14ac:dyDescent="0.25"/>
  <cols>
    <col min="1" max="2" width="2.85546875" customWidth="1"/>
    <col min="3" max="3" width="7.140625" customWidth="1"/>
    <col min="4" max="4" width="8.5703125" customWidth="1"/>
    <col min="5" max="5" width="14.42578125" bestFit="1" customWidth="1"/>
    <col min="6" max="10" width="21.42578125" customWidth="1"/>
    <col min="11" max="12" width="2.85546875" customWidth="1"/>
    <col min="14" max="14" width="13.85546875" bestFit="1" customWidth="1"/>
  </cols>
  <sheetData>
    <row r="1" spans="1:13" s="1" customFormat="1" ht="15.75" x14ac:dyDescent="0.3">
      <c r="A1" s="50"/>
      <c r="B1" s="19"/>
      <c r="C1" s="19"/>
      <c r="D1" s="19"/>
      <c r="E1" s="19"/>
      <c r="F1" s="19"/>
      <c r="G1" s="20"/>
      <c r="H1" s="20"/>
      <c r="I1" s="20"/>
      <c r="J1" s="152"/>
      <c r="K1" s="20"/>
      <c r="L1" s="19"/>
      <c r="M1" s="101"/>
    </row>
    <row r="2" spans="1:13" s="1" customFormat="1" ht="7.5" customHeight="1" x14ac:dyDescent="0.3">
      <c r="A2" s="62"/>
      <c r="B2" s="50"/>
      <c r="C2" s="19"/>
      <c r="D2" s="19"/>
      <c r="E2" s="19"/>
      <c r="F2" s="19"/>
      <c r="G2" s="20"/>
      <c r="H2" s="20"/>
      <c r="I2" s="20"/>
      <c r="J2" s="152"/>
      <c r="K2" s="51"/>
      <c r="L2" s="10"/>
      <c r="M2" s="101"/>
    </row>
    <row r="3" spans="1:13" s="1" customFormat="1" ht="15.75" customHeight="1" x14ac:dyDescent="0.3">
      <c r="A3" s="62"/>
      <c r="B3" s="172"/>
      <c r="C3" s="216" t="s">
        <v>65</v>
      </c>
      <c r="D3" s="216"/>
      <c r="E3" s="10" t="s">
        <v>66</v>
      </c>
      <c r="G3" s="173" t="s">
        <v>272</v>
      </c>
      <c r="H3" s="222" t="s">
        <v>274</v>
      </c>
      <c r="I3" s="222"/>
      <c r="J3" s="222"/>
      <c r="K3" s="186"/>
      <c r="L3" s="10"/>
      <c r="M3" s="101"/>
    </row>
    <row r="4" spans="1:13" s="1" customFormat="1" ht="15.75" x14ac:dyDescent="0.3">
      <c r="A4" s="62"/>
      <c r="B4" s="172"/>
      <c r="C4" s="216" t="s">
        <v>270</v>
      </c>
      <c r="D4" s="216"/>
      <c r="E4" s="10" t="s">
        <v>271</v>
      </c>
      <c r="F4" s="10"/>
      <c r="G4" s="3"/>
      <c r="H4" s="222"/>
      <c r="I4" s="222"/>
      <c r="J4" s="222"/>
      <c r="K4" s="186"/>
      <c r="L4" s="10"/>
      <c r="M4" s="101"/>
    </row>
    <row r="5" spans="1:13" s="1" customFormat="1" ht="15.75" x14ac:dyDescent="0.3">
      <c r="A5" s="62"/>
      <c r="B5" s="172"/>
      <c r="C5" s="216" t="s">
        <v>64</v>
      </c>
      <c r="D5" s="216"/>
      <c r="E5" s="35" t="s">
        <v>67</v>
      </c>
      <c r="F5" s="10"/>
      <c r="H5" s="222"/>
      <c r="I5" s="222"/>
      <c r="J5" s="222"/>
      <c r="K5" s="186"/>
      <c r="L5" s="10"/>
      <c r="M5" s="101"/>
    </row>
    <row r="6" spans="1:13" s="1" customFormat="1" ht="15.75" x14ac:dyDescent="0.3">
      <c r="A6" s="62"/>
      <c r="B6" s="172"/>
      <c r="C6" s="217" t="s">
        <v>273</v>
      </c>
      <c r="D6" s="218"/>
      <c r="E6" s="175">
        <v>41275</v>
      </c>
      <c r="F6" s="10"/>
      <c r="G6" s="174"/>
      <c r="H6" s="222"/>
      <c r="I6" s="222"/>
      <c r="J6" s="222"/>
      <c r="K6" s="52"/>
      <c r="L6" s="10"/>
      <c r="M6" s="101"/>
    </row>
    <row r="7" spans="1:13" s="1" customFormat="1" ht="7.5" customHeight="1" x14ac:dyDescent="0.3">
      <c r="A7" s="62"/>
      <c r="B7" s="53"/>
      <c r="C7" s="5"/>
      <c r="D7" s="5"/>
      <c r="E7" s="5"/>
      <c r="F7" s="5"/>
      <c r="G7" s="6"/>
      <c r="H7" s="6"/>
      <c r="I7" s="6"/>
      <c r="J7" s="153"/>
      <c r="K7" s="54"/>
      <c r="L7" s="10"/>
      <c r="M7" s="101"/>
    </row>
    <row r="8" spans="1:13" s="1" customFormat="1" ht="15.75" x14ac:dyDescent="0.3">
      <c r="A8" s="10"/>
      <c r="B8" s="10"/>
      <c r="C8" s="10"/>
      <c r="D8" s="10"/>
      <c r="E8" s="10"/>
      <c r="F8" s="10"/>
      <c r="G8" s="28"/>
      <c r="H8" s="28"/>
      <c r="I8" s="28"/>
      <c r="J8" s="28"/>
      <c r="K8" s="28"/>
      <c r="L8" s="10"/>
      <c r="M8" s="101"/>
    </row>
    <row r="9" spans="1:13" x14ac:dyDescent="0.25">
      <c r="A9" s="176"/>
      <c r="B9" s="177"/>
      <c r="C9" s="178"/>
      <c r="D9" s="178"/>
      <c r="E9" s="178"/>
      <c r="F9" s="178"/>
      <c r="G9" s="178"/>
      <c r="H9" s="178"/>
      <c r="I9" s="178"/>
      <c r="J9" s="178"/>
      <c r="K9" s="179"/>
      <c r="L9" s="176"/>
      <c r="M9" s="127"/>
    </row>
    <row r="10" spans="1:13" s="1" customFormat="1" ht="15.75" x14ac:dyDescent="0.3">
      <c r="A10" s="62"/>
      <c r="B10" s="189"/>
      <c r="C10" s="15" t="s">
        <v>275</v>
      </c>
      <c r="D10" s="14"/>
      <c r="E10" s="15"/>
      <c r="F10" s="16"/>
      <c r="G10" s="17"/>
      <c r="H10" s="17"/>
      <c r="I10" s="17"/>
      <c r="J10" s="17"/>
      <c r="K10" s="190"/>
      <c r="L10" s="10"/>
      <c r="M10" s="101"/>
    </row>
    <row r="11" spans="1:13" s="1" customFormat="1" ht="7.5" customHeight="1" x14ac:dyDescent="0.3">
      <c r="A11" s="62"/>
      <c r="B11" s="191"/>
      <c r="C11" s="187"/>
      <c r="D11" s="187"/>
      <c r="E11" s="187"/>
      <c r="F11" s="187"/>
      <c r="G11" s="187"/>
      <c r="H11" s="187"/>
      <c r="I11" s="187"/>
      <c r="J11" s="187"/>
      <c r="K11" s="192"/>
      <c r="L11" s="10"/>
      <c r="M11" s="101"/>
    </row>
    <row r="12" spans="1:13" s="1" customFormat="1" ht="15.75" x14ac:dyDescent="0.3">
      <c r="A12" s="62"/>
      <c r="B12" s="193"/>
      <c r="D12" s="65" t="s">
        <v>276</v>
      </c>
      <c r="E12" s="67"/>
      <c r="F12" s="29"/>
      <c r="G12" s="68"/>
      <c r="H12" s="68"/>
      <c r="I12" s="68"/>
      <c r="J12" s="197" t="s">
        <v>8</v>
      </c>
      <c r="K12" s="194"/>
      <c r="L12" s="10"/>
      <c r="M12" s="101"/>
    </row>
    <row r="13" spans="1:13" s="1" customFormat="1" ht="7.5" customHeight="1" x14ac:dyDescent="0.3">
      <c r="A13" s="62"/>
      <c r="B13" s="193"/>
      <c r="C13" s="9"/>
      <c r="D13" s="9"/>
      <c r="E13" s="10"/>
      <c r="F13" s="10"/>
      <c r="G13" s="28"/>
      <c r="H13" s="117"/>
      <c r="I13" s="28"/>
      <c r="J13" s="28"/>
      <c r="K13" s="52"/>
      <c r="L13" s="10"/>
      <c r="M13" s="101"/>
    </row>
    <row r="14" spans="1:13" s="1" customFormat="1" ht="15.75" x14ac:dyDescent="0.3">
      <c r="A14" s="62"/>
      <c r="B14" s="193"/>
      <c r="C14" s="10"/>
      <c r="E14" s="113" t="s">
        <v>277</v>
      </c>
      <c r="F14" s="32"/>
      <c r="G14" s="13"/>
      <c r="H14" s="13"/>
      <c r="I14" s="13"/>
      <c r="J14" s="188">
        <f>SUM($I$16:$I$20)</f>
        <v>7265951.466</v>
      </c>
      <c r="K14" s="195"/>
      <c r="L14" s="10"/>
    </row>
    <row r="15" spans="1:13" s="1" customFormat="1" ht="7.5" customHeight="1" x14ac:dyDescent="0.3">
      <c r="A15" s="62"/>
      <c r="B15" s="193"/>
      <c r="C15" s="9"/>
      <c r="D15" s="9"/>
      <c r="E15" s="10"/>
      <c r="F15" s="10"/>
      <c r="G15" s="28"/>
      <c r="H15" s="37"/>
      <c r="I15" s="153"/>
      <c r="J15" s="153"/>
      <c r="K15" s="52"/>
      <c r="L15" s="10"/>
    </row>
    <row r="16" spans="1:13" s="1" customFormat="1" ht="15.75" x14ac:dyDescent="0.3">
      <c r="A16" s="62"/>
      <c r="B16" s="193"/>
      <c r="C16" s="9"/>
      <c r="D16" s="10"/>
      <c r="E16" s="94" t="s">
        <v>0</v>
      </c>
      <c r="F16" s="7"/>
      <c r="G16" s="8"/>
      <c r="H16" s="37"/>
      <c r="I16" s="135">
        <f>'02 - Terreno - Costo'!$L$4</f>
        <v>1471898.22</v>
      </c>
      <c r="J16" s="135"/>
      <c r="K16" s="52"/>
      <c r="L16" s="10"/>
    </row>
    <row r="17" spans="1:14" s="1" customFormat="1" ht="15.75" x14ac:dyDescent="0.3">
      <c r="A17" s="62"/>
      <c r="B17" s="193"/>
      <c r="C17" s="9"/>
      <c r="D17" s="10"/>
      <c r="E17" s="7" t="s">
        <v>279</v>
      </c>
      <c r="F17" s="7"/>
      <c r="G17" s="8"/>
      <c r="H17" s="37"/>
      <c r="I17" s="135">
        <f>'03 - Proyecto'!$L$12</f>
        <v>294359.79000000004</v>
      </c>
      <c r="J17" s="135"/>
      <c r="K17" s="52"/>
      <c r="L17" s="10"/>
    </row>
    <row r="18" spans="1:14" s="1" customFormat="1" ht="15.75" x14ac:dyDescent="0.3">
      <c r="A18" s="62"/>
      <c r="B18" s="193"/>
      <c r="C18" s="9"/>
      <c r="D18" s="10"/>
      <c r="E18" s="7" t="s">
        <v>103</v>
      </c>
      <c r="F18" s="7"/>
      <c r="G18" s="8"/>
      <c r="H18" s="36"/>
      <c r="I18" s="135">
        <f>'04 - Licencias y Permisos'!L12</f>
        <v>69425.399999999994</v>
      </c>
      <c r="J18" s="8"/>
      <c r="K18" s="52"/>
      <c r="L18" s="10"/>
    </row>
    <row r="19" spans="1:14" s="1" customFormat="1" ht="15.75" x14ac:dyDescent="0.3">
      <c r="A19" s="62"/>
      <c r="B19" s="193"/>
      <c r="C19" s="9"/>
      <c r="D19" s="10"/>
      <c r="E19" s="7" t="s">
        <v>121</v>
      </c>
      <c r="F19" s="7"/>
      <c r="G19" s="8"/>
      <c r="H19" s="33"/>
      <c r="I19" s="135">
        <f>'05 - Saneamiento Inmobiliario'!L20</f>
        <v>72019.056000000011</v>
      </c>
      <c r="J19" s="33"/>
      <c r="K19" s="52"/>
      <c r="L19" s="10"/>
    </row>
    <row r="20" spans="1:14" ht="15.75" x14ac:dyDescent="0.3">
      <c r="A20" s="176"/>
      <c r="B20" s="180"/>
      <c r="C20" s="181"/>
      <c r="D20" s="181"/>
      <c r="E20" s="7" t="s">
        <v>152</v>
      </c>
      <c r="F20" s="7"/>
      <c r="G20" s="8"/>
      <c r="H20" s="36"/>
      <c r="I20" s="135">
        <f>'06 - Construcción'!K48</f>
        <v>5358249</v>
      </c>
      <c r="J20" s="8"/>
      <c r="K20" s="182"/>
      <c r="L20" s="176"/>
    </row>
    <row r="21" spans="1:14" ht="7.5" customHeight="1" x14ac:dyDescent="0.3">
      <c r="A21" s="176"/>
      <c r="B21" s="180"/>
      <c r="C21" s="181"/>
      <c r="D21" s="10"/>
      <c r="E21" s="19"/>
      <c r="F21" s="19"/>
      <c r="G21" s="152"/>
      <c r="H21" s="34"/>
      <c r="I21" s="152"/>
      <c r="J21" s="33"/>
      <c r="K21" s="182"/>
      <c r="L21" s="176"/>
    </row>
    <row r="22" spans="1:14" ht="15.75" x14ac:dyDescent="0.3">
      <c r="A22" s="176"/>
      <c r="B22" s="180"/>
      <c r="C22" s="181"/>
      <c r="E22" s="113" t="s">
        <v>278</v>
      </c>
      <c r="F22" s="32"/>
      <c r="G22" s="13"/>
      <c r="H22" s="13"/>
      <c r="I22" s="13"/>
      <c r="J22" s="188">
        <f>SUM($I$24:$I$25)</f>
        <v>648145</v>
      </c>
      <c r="K22" s="182"/>
      <c r="L22" s="176"/>
    </row>
    <row r="23" spans="1:14" ht="7.5" customHeight="1" x14ac:dyDescent="0.3">
      <c r="A23" s="176"/>
      <c r="B23" s="180"/>
      <c r="C23" s="181"/>
      <c r="D23" s="10"/>
      <c r="E23" s="5"/>
      <c r="F23" s="5"/>
      <c r="G23" s="153"/>
      <c r="H23" s="196"/>
      <c r="I23" s="153"/>
      <c r="J23" s="33"/>
      <c r="K23" s="182"/>
      <c r="L23" s="176"/>
    </row>
    <row r="24" spans="1:14" ht="15.75" x14ac:dyDescent="0.3">
      <c r="A24" s="176"/>
      <c r="B24" s="180"/>
      <c r="C24" s="181"/>
      <c r="D24" s="10"/>
      <c r="E24" s="7" t="s">
        <v>152</v>
      </c>
      <c r="F24" s="7"/>
      <c r="G24" s="8"/>
      <c r="H24" s="36"/>
      <c r="I24" s="135">
        <f>'07 - Gestión del Proyecto'!$L$12</f>
        <v>340860</v>
      </c>
      <c r="J24" s="8"/>
      <c r="K24" s="182"/>
      <c r="L24" s="176"/>
      <c r="N24">
        <f>8300/1.18</f>
        <v>7033.8983050847464</v>
      </c>
    </row>
    <row r="25" spans="1:14" ht="15.75" x14ac:dyDescent="0.3">
      <c r="A25" s="176"/>
      <c r="B25" s="180"/>
      <c r="C25" s="181"/>
      <c r="D25" s="10"/>
      <c r="E25" s="7" t="s">
        <v>178</v>
      </c>
      <c r="F25" s="7"/>
      <c r="G25" s="8"/>
      <c r="H25" s="33"/>
      <c r="I25" s="135">
        <f>'8 - Comercialización'!$M$12</f>
        <v>307285</v>
      </c>
      <c r="J25" s="33"/>
      <c r="K25" s="182"/>
      <c r="L25" s="176"/>
      <c r="N25">
        <f>1500/1.18</f>
        <v>1271.1864406779662</v>
      </c>
    </row>
    <row r="26" spans="1:14" ht="7.5" customHeight="1" x14ac:dyDescent="0.25">
      <c r="A26" s="176"/>
      <c r="B26" s="180"/>
      <c r="C26" s="181"/>
      <c r="D26" s="181"/>
      <c r="E26" s="181"/>
      <c r="F26" s="181"/>
      <c r="G26" s="181"/>
      <c r="H26" s="181"/>
      <c r="I26" s="181"/>
      <c r="J26" s="181"/>
      <c r="K26" s="182"/>
      <c r="L26" s="176"/>
    </row>
    <row r="27" spans="1:14" ht="15.75" x14ac:dyDescent="0.3">
      <c r="A27" s="176"/>
      <c r="B27" s="180"/>
      <c r="D27" s="65" t="s">
        <v>8</v>
      </c>
      <c r="E27" s="67"/>
      <c r="F27" s="29"/>
      <c r="G27" s="68"/>
      <c r="H27" s="68"/>
      <c r="I27" s="68"/>
      <c r="J27" s="188">
        <f>SUM($J$14,$J$22)</f>
        <v>7914096.466</v>
      </c>
      <c r="K27" s="182"/>
      <c r="L27" s="176"/>
    </row>
    <row r="28" spans="1:14" s="176" customFormat="1" ht="15.75" x14ac:dyDescent="0.3">
      <c r="B28" s="183"/>
      <c r="C28" s="155"/>
      <c r="D28" s="4"/>
      <c r="E28" s="156"/>
      <c r="F28" s="5"/>
      <c r="G28" s="153"/>
      <c r="H28" s="153"/>
      <c r="I28" s="153"/>
      <c r="J28" s="201"/>
      <c r="K28" s="185"/>
    </row>
    <row r="29" spans="1:14" s="127" customFormat="1" ht="7.5" customHeight="1" x14ac:dyDescent="0.25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</row>
    <row r="30" spans="1:14" x14ac:dyDescent="0.25">
      <c r="A30" s="176"/>
      <c r="B30" s="177"/>
      <c r="C30" s="178"/>
      <c r="D30" s="178"/>
      <c r="E30" s="178"/>
      <c r="F30" s="178"/>
      <c r="G30" s="178"/>
      <c r="H30" s="178"/>
      <c r="I30" s="178"/>
      <c r="J30" s="178"/>
      <c r="K30" s="179"/>
      <c r="L30" s="176"/>
    </row>
    <row r="31" spans="1:14" ht="15.75" x14ac:dyDescent="0.3">
      <c r="A31" s="176"/>
      <c r="B31" s="180"/>
      <c r="C31" s="15" t="s">
        <v>280</v>
      </c>
      <c r="D31" s="14"/>
      <c r="E31" s="15"/>
      <c r="F31" s="16"/>
      <c r="G31" s="17"/>
      <c r="H31" s="17"/>
      <c r="I31" s="17"/>
      <c r="J31" s="17"/>
      <c r="K31" s="182"/>
      <c r="L31" s="176"/>
    </row>
    <row r="32" spans="1:14" s="242" customFormat="1" ht="15.75" x14ac:dyDescent="0.3">
      <c r="B32" s="243"/>
      <c r="C32" s="244"/>
      <c r="D32" s="245"/>
      <c r="E32" s="244"/>
      <c r="F32" s="246"/>
      <c r="G32" s="247"/>
      <c r="H32" s="247"/>
      <c r="I32" s="247"/>
      <c r="J32" s="247"/>
      <c r="K32" s="248"/>
    </row>
    <row r="33" spans="1:14" s="242" customFormat="1" ht="15.75" x14ac:dyDescent="0.3">
      <c r="B33" s="243"/>
      <c r="C33" s="249" t="s">
        <v>339</v>
      </c>
      <c r="D33" s="249"/>
      <c r="E33" s="249"/>
      <c r="F33" s="250">
        <v>1150</v>
      </c>
      <c r="G33" s="251" t="s">
        <v>340</v>
      </c>
      <c r="H33" s="250">
        <v>7033</v>
      </c>
      <c r="I33" s="252" t="s">
        <v>341</v>
      </c>
      <c r="J33" s="250">
        <v>1271</v>
      </c>
      <c r="K33" s="248"/>
    </row>
    <row r="34" spans="1:14" ht="7.5" customHeight="1" x14ac:dyDescent="0.3">
      <c r="A34" s="176"/>
      <c r="B34" s="180"/>
      <c r="C34" s="187"/>
      <c r="D34" s="187"/>
      <c r="E34" s="187"/>
      <c r="F34" s="187"/>
      <c r="G34" s="187"/>
      <c r="H34" s="187"/>
      <c r="I34" s="187"/>
      <c r="J34" s="187"/>
      <c r="K34" s="182"/>
      <c r="L34" s="176"/>
    </row>
    <row r="35" spans="1:14" ht="15.75" x14ac:dyDescent="0.25">
      <c r="A35" s="176"/>
      <c r="B35" s="180"/>
      <c r="C35" s="221" t="s">
        <v>27</v>
      </c>
      <c r="D35" s="221"/>
      <c r="E35" s="221"/>
      <c r="F35" s="151" t="s">
        <v>286</v>
      </c>
      <c r="G35" s="151" t="s">
        <v>281</v>
      </c>
      <c r="H35" s="151" t="s">
        <v>282</v>
      </c>
      <c r="I35" s="151" t="s">
        <v>7</v>
      </c>
      <c r="J35" s="151" t="s">
        <v>8</v>
      </c>
      <c r="K35" s="200"/>
      <c r="L35" s="176"/>
    </row>
    <row r="36" spans="1:14" ht="7.5" customHeight="1" x14ac:dyDescent="0.3">
      <c r="A36" s="176"/>
      <c r="B36" s="180"/>
      <c r="C36" s="9"/>
      <c r="D36" s="9"/>
      <c r="E36" s="10"/>
      <c r="F36" s="10"/>
      <c r="G36" s="28"/>
      <c r="H36" s="37"/>
      <c r="I36" s="153"/>
      <c r="J36" s="153"/>
      <c r="K36" s="182"/>
      <c r="L36" s="176"/>
    </row>
    <row r="37" spans="1:14" ht="15.75" x14ac:dyDescent="0.3">
      <c r="A37" s="176"/>
      <c r="B37" s="180"/>
      <c r="C37" s="99"/>
      <c r="D37" s="7" t="s">
        <v>283</v>
      </c>
      <c r="E37" s="94"/>
      <c r="F37" s="99">
        <f>'05 - Saneamiento Inmobiliario'!$I$14</f>
        <v>95</v>
      </c>
      <c r="G37" s="89">
        <v>70.81</v>
      </c>
      <c r="H37" s="135">
        <f>$F$33*$G$37</f>
        <v>81431.5</v>
      </c>
      <c r="I37" s="135">
        <f>$H$37*$F$37</f>
        <v>7735992.5</v>
      </c>
      <c r="J37" s="135"/>
      <c r="K37" s="182"/>
      <c r="L37" s="176"/>
    </row>
    <row r="38" spans="1:14" ht="15.75" x14ac:dyDescent="0.3">
      <c r="A38" s="176"/>
      <c r="B38" s="180"/>
      <c r="C38" s="99"/>
      <c r="D38" s="7" t="s">
        <v>284</v>
      </c>
      <c r="E38" s="94"/>
      <c r="F38" s="99">
        <f>'05 - Saneamiento Inmobiliario'!$I$15</f>
        <v>71</v>
      </c>
      <c r="G38" s="89"/>
      <c r="H38" s="135">
        <f>$H$33</f>
        <v>7033</v>
      </c>
      <c r="I38" s="135">
        <f>$H$38*$F$38</f>
        <v>499343</v>
      </c>
      <c r="J38" s="135"/>
      <c r="K38" s="182"/>
      <c r="L38" s="176"/>
      <c r="N38" s="126">
        <f>I37*0.18</f>
        <v>1392478.65</v>
      </c>
    </row>
    <row r="39" spans="1:14" ht="15.75" x14ac:dyDescent="0.3">
      <c r="A39" s="176"/>
      <c r="B39" s="180"/>
      <c r="C39" s="99"/>
      <c r="D39" s="7" t="s">
        <v>285</v>
      </c>
      <c r="E39" s="94"/>
      <c r="F39" s="99">
        <f>'05 - Saneamiento Inmobiliario'!$I$16</f>
        <v>29</v>
      </c>
      <c r="G39" s="89"/>
      <c r="H39" s="135">
        <f>$J$33</f>
        <v>1271</v>
      </c>
      <c r="I39" s="135">
        <f>$H$39*$F$39</f>
        <v>36859</v>
      </c>
      <c r="J39" s="135"/>
      <c r="K39" s="182"/>
      <c r="L39" s="176"/>
    </row>
    <row r="40" spans="1:14" ht="7.5" customHeight="1" x14ac:dyDescent="0.3">
      <c r="A40" s="176"/>
      <c r="B40" s="180"/>
      <c r="C40" s="99"/>
      <c r="D40" s="7"/>
      <c r="E40" s="7"/>
      <c r="F40" s="7"/>
      <c r="G40" s="8"/>
      <c r="H40" s="135"/>
      <c r="I40" s="135"/>
      <c r="J40" s="135"/>
      <c r="K40" s="182"/>
      <c r="L40" s="176"/>
    </row>
    <row r="41" spans="1:14" ht="15.75" x14ac:dyDescent="0.3">
      <c r="A41" s="176"/>
      <c r="B41" s="180"/>
      <c r="C41" s="99"/>
      <c r="D41" s="74" t="s">
        <v>287</v>
      </c>
      <c r="E41" s="74"/>
      <c r="F41" s="74"/>
      <c r="G41" s="45"/>
      <c r="H41" s="46"/>
      <c r="I41" s="136"/>
      <c r="J41" s="198">
        <f>SUM(I37:I39)</f>
        <v>8272194.5</v>
      </c>
      <c r="K41" s="182"/>
      <c r="L41" s="176"/>
    </row>
    <row r="42" spans="1:14" ht="15.75" x14ac:dyDescent="0.3">
      <c r="A42" s="176"/>
      <c r="B42" s="180"/>
      <c r="C42" s="99"/>
      <c r="D42" s="74" t="s">
        <v>163</v>
      </c>
      <c r="E42" s="74"/>
      <c r="F42" s="74"/>
      <c r="G42" s="45"/>
      <c r="H42" s="44"/>
      <c r="I42" s="136"/>
      <c r="J42" s="199">
        <f>J41*'06 - Construcción'!$J$47</f>
        <v>1488995.01</v>
      </c>
      <c r="K42" s="182"/>
      <c r="L42" s="176"/>
    </row>
    <row r="43" spans="1:14" ht="15.75" x14ac:dyDescent="0.3">
      <c r="A43" s="176"/>
      <c r="B43" s="180"/>
      <c r="C43" s="129"/>
      <c r="D43" s="74" t="s">
        <v>8</v>
      </c>
      <c r="E43" s="74"/>
      <c r="F43" s="74"/>
      <c r="G43" s="45"/>
      <c r="H43" s="46"/>
      <c r="I43" s="136"/>
      <c r="J43" s="198">
        <f>SUM(J41:J42)</f>
        <v>9761189.5099999998</v>
      </c>
      <c r="K43" s="182"/>
      <c r="L43" s="176"/>
    </row>
    <row r="44" spans="1:14" ht="15.75" x14ac:dyDescent="0.3">
      <c r="A44" s="176"/>
      <c r="B44" s="183"/>
      <c r="C44" s="184"/>
      <c r="D44" s="156"/>
      <c r="E44" s="74"/>
      <c r="F44" s="74"/>
      <c r="G44" s="45"/>
      <c r="H44" s="46"/>
      <c r="I44" s="136"/>
      <c r="J44" s="198"/>
      <c r="K44" s="185"/>
      <c r="L44" s="176"/>
    </row>
    <row r="45" spans="1:14" s="127" customFormat="1" ht="7.5" customHeight="1" x14ac:dyDescent="0.3">
      <c r="A45" s="181"/>
      <c r="B45" s="181"/>
      <c r="C45" s="181"/>
      <c r="D45" s="10"/>
      <c r="E45" s="10"/>
      <c r="F45" s="10"/>
      <c r="G45" s="28"/>
      <c r="H45" s="35"/>
      <c r="I45" s="28"/>
      <c r="J45" s="35"/>
      <c r="K45" s="181"/>
      <c r="L45" s="181"/>
    </row>
    <row r="46" spans="1:14" x14ac:dyDescent="0.25">
      <c r="A46" s="176"/>
      <c r="B46" s="177"/>
      <c r="C46" s="178"/>
      <c r="D46" s="178"/>
      <c r="E46" s="178"/>
      <c r="F46" s="178"/>
      <c r="G46" s="178"/>
      <c r="H46" s="178"/>
      <c r="I46" s="178"/>
      <c r="J46" s="178"/>
      <c r="K46" s="179"/>
      <c r="L46" s="176"/>
      <c r="M46" s="127"/>
    </row>
    <row r="47" spans="1:14" s="1" customFormat="1" ht="15.75" x14ac:dyDescent="0.3">
      <c r="A47" s="62"/>
      <c r="B47" s="189"/>
      <c r="C47" s="15" t="s">
        <v>288</v>
      </c>
      <c r="D47" s="14"/>
      <c r="E47" s="15"/>
      <c r="F47" s="16"/>
      <c r="G47" s="17"/>
      <c r="H47" s="17"/>
      <c r="I47" s="17"/>
      <c r="J47" s="17"/>
      <c r="K47" s="190"/>
      <c r="L47" s="10"/>
      <c r="M47" s="101"/>
    </row>
    <row r="48" spans="1:14" s="1" customFormat="1" ht="7.5" customHeight="1" x14ac:dyDescent="0.3">
      <c r="A48" s="62"/>
      <c r="B48" s="191"/>
      <c r="C48" s="187"/>
      <c r="D48" s="187"/>
      <c r="E48" s="187"/>
      <c r="F48" s="187"/>
      <c r="G48" s="187"/>
      <c r="H48" s="187"/>
      <c r="I48" s="187"/>
      <c r="J48" s="187"/>
      <c r="K48" s="192"/>
      <c r="L48" s="10"/>
      <c r="M48" s="101"/>
    </row>
    <row r="49" spans="1:13" s="1" customFormat="1" ht="15.75" x14ac:dyDescent="0.3">
      <c r="A49" s="62"/>
      <c r="B49" s="193"/>
      <c r="D49" s="65" t="s">
        <v>289</v>
      </c>
      <c r="E49" s="29"/>
      <c r="F49" s="29"/>
      <c r="G49" s="68"/>
      <c r="H49" s="68"/>
      <c r="I49" s="68"/>
      <c r="J49" s="197"/>
      <c r="K49" s="194"/>
      <c r="L49" s="10"/>
      <c r="M49" s="101"/>
    </row>
    <row r="50" spans="1:13" s="1" customFormat="1" ht="7.5" customHeight="1" x14ac:dyDescent="0.3">
      <c r="A50" s="62"/>
      <c r="B50" s="193"/>
      <c r="C50" s="9"/>
      <c r="D50" s="9"/>
      <c r="E50" s="10"/>
      <c r="F50" s="10"/>
      <c r="G50" s="28"/>
      <c r="H50" s="117"/>
      <c r="I50" s="28"/>
      <c r="J50" s="28"/>
      <c r="K50" s="52"/>
      <c r="L50" s="10"/>
      <c r="M50" s="101"/>
    </row>
    <row r="51" spans="1:13" s="1" customFormat="1" ht="15.75" x14ac:dyDescent="0.3">
      <c r="A51" s="62"/>
      <c r="B51" s="193"/>
      <c r="C51" s="101"/>
      <c r="D51" s="28"/>
      <c r="E51" s="207" t="s">
        <v>290</v>
      </c>
      <c r="F51" s="207"/>
      <c r="G51" s="207"/>
      <c r="H51" s="208"/>
      <c r="I51" s="208" t="s">
        <v>32</v>
      </c>
      <c r="J51" s="208" t="s">
        <v>291</v>
      </c>
      <c r="K51" s="195"/>
      <c r="L51" s="10"/>
    </row>
    <row r="52" spans="1:13" s="1" customFormat="1" ht="7.5" customHeight="1" x14ac:dyDescent="0.3">
      <c r="A52" s="62"/>
      <c r="B52" s="193"/>
      <c r="C52" s="9"/>
      <c r="D52" s="9"/>
      <c r="E52" s="10"/>
      <c r="F52" s="10"/>
      <c r="G52" s="28"/>
      <c r="H52" s="37"/>
      <c r="I52" s="153"/>
      <c r="J52" s="153"/>
      <c r="K52" s="52"/>
      <c r="L52" s="10"/>
    </row>
    <row r="53" spans="1:13" s="1" customFormat="1" ht="15.75" x14ac:dyDescent="0.3">
      <c r="A53" s="62"/>
      <c r="B53" s="193"/>
      <c r="C53" s="9"/>
      <c r="D53" s="10"/>
      <c r="E53" s="94" t="s">
        <v>294</v>
      </c>
      <c r="F53" s="7"/>
      <c r="G53" s="8"/>
      <c r="H53" s="37"/>
      <c r="I53" s="202">
        <v>0.2</v>
      </c>
      <c r="J53" s="135">
        <f>$J$57*$I$53</f>
        <v>1582819.2932000002</v>
      </c>
      <c r="K53" s="52"/>
      <c r="L53" s="10"/>
    </row>
    <row r="54" spans="1:13" s="1" customFormat="1" ht="15.75" x14ac:dyDescent="0.3">
      <c r="A54" s="62"/>
      <c r="B54" s="193"/>
      <c r="C54" s="9"/>
      <c r="D54" s="10"/>
      <c r="E54" s="7" t="s">
        <v>292</v>
      </c>
      <c r="F54" s="7"/>
      <c r="G54" s="8"/>
      <c r="H54" s="37"/>
      <c r="I54" s="202">
        <v>0.5</v>
      </c>
      <c r="J54" s="135">
        <f>$J$57*$I$54</f>
        <v>3957048.233</v>
      </c>
      <c r="K54" s="52"/>
      <c r="L54" s="10"/>
    </row>
    <row r="55" spans="1:13" s="1" customFormat="1" ht="15.75" x14ac:dyDescent="0.3">
      <c r="A55" s="62"/>
      <c r="B55" s="193"/>
      <c r="C55" s="9"/>
      <c r="D55" s="10"/>
      <c r="E55" s="7" t="s">
        <v>293</v>
      </c>
      <c r="F55" s="7"/>
      <c r="G55" s="8"/>
      <c r="H55" s="36"/>
      <c r="I55" s="202">
        <v>0.3</v>
      </c>
      <c r="J55" s="135">
        <f>$J$57*$I$55</f>
        <v>2374228.9397999998</v>
      </c>
      <c r="K55" s="52"/>
      <c r="L55" s="10"/>
    </row>
    <row r="56" spans="1:13" s="1" customFormat="1" ht="7.5" customHeight="1" x14ac:dyDescent="0.3">
      <c r="A56" s="62"/>
      <c r="B56" s="193"/>
      <c r="C56" s="9"/>
      <c r="D56" s="10"/>
      <c r="E56" s="7"/>
      <c r="F56" s="7"/>
      <c r="G56" s="8"/>
      <c r="H56" s="33"/>
      <c r="I56" s="202"/>
      <c r="J56" s="33"/>
      <c r="K56" s="52"/>
      <c r="L56" s="10"/>
    </row>
    <row r="57" spans="1:13" ht="15.75" x14ac:dyDescent="0.3">
      <c r="A57" s="176"/>
      <c r="B57" s="180"/>
      <c r="C57" s="181"/>
      <c r="D57" s="181"/>
      <c r="E57" s="74" t="s">
        <v>295</v>
      </c>
      <c r="F57" s="7"/>
      <c r="G57" s="8"/>
      <c r="H57" s="36"/>
      <c r="I57" s="203">
        <f>SUM(I53:I56)</f>
        <v>1</v>
      </c>
      <c r="J57" s="198">
        <f>$J$27</f>
        <v>7914096.466</v>
      </c>
      <c r="K57" s="182"/>
      <c r="L57" s="176"/>
    </row>
    <row r="58" spans="1:13" ht="7.5" customHeight="1" x14ac:dyDescent="0.3">
      <c r="A58" s="176"/>
      <c r="B58" s="180"/>
      <c r="C58" s="181"/>
      <c r="D58" s="10"/>
      <c r="E58" s="19"/>
      <c r="F58" s="19"/>
      <c r="G58" s="152"/>
      <c r="H58" s="34"/>
      <c r="I58" s="152"/>
      <c r="J58" s="34"/>
      <c r="K58" s="182"/>
      <c r="L58" s="176"/>
    </row>
    <row r="59" spans="1:13" s="1" customFormat="1" ht="15.75" x14ac:dyDescent="0.3">
      <c r="A59" s="62"/>
      <c r="B59" s="193"/>
      <c r="D59" s="65" t="s">
        <v>296</v>
      </c>
      <c r="E59" s="29"/>
      <c r="F59" s="29"/>
      <c r="G59" s="68"/>
      <c r="H59" s="68"/>
      <c r="I59" s="68"/>
      <c r="J59" s="197"/>
      <c r="K59" s="194"/>
      <c r="L59" s="10"/>
      <c r="M59" s="101"/>
    </row>
    <row r="60" spans="1:13" s="1" customFormat="1" ht="7.5" customHeight="1" x14ac:dyDescent="0.3">
      <c r="A60" s="62"/>
      <c r="B60" s="193"/>
      <c r="C60" s="9"/>
      <c r="D60" s="9"/>
      <c r="E60" s="10"/>
      <c r="F60" s="10"/>
      <c r="G60" s="28"/>
      <c r="H60" s="117"/>
      <c r="I60" s="28"/>
      <c r="J60" s="28"/>
      <c r="K60" s="52"/>
      <c r="L60" s="10"/>
      <c r="M60" s="101"/>
    </row>
    <row r="61" spans="1:13" s="1" customFormat="1" ht="15.75" x14ac:dyDescent="0.3">
      <c r="A61" s="62"/>
      <c r="B61" s="193"/>
      <c r="C61" s="101"/>
      <c r="D61" s="28"/>
      <c r="E61" s="207" t="s">
        <v>290</v>
      </c>
      <c r="F61" s="207"/>
      <c r="G61" s="207"/>
      <c r="H61" s="208"/>
      <c r="I61" s="208" t="s">
        <v>300</v>
      </c>
      <c r="J61" s="208" t="s">
        <v>301</v>
      </c>
      <c r="K61" s="195"/>
      <c r="L61" s="10"/>
    </row>
    <row r="62" spans="1:13" s="1" customFormat="1" ht="7.5" customHeight="1" x14ac:dyDescent="0.3">
      <c r="A62" s="62"/>
      <c r="B62" s="193"/>
      <c r="C62" s="9"/>
      <c r="D62" s="9"/>
      <c r="E62" s="10"/>
      <c r="F62" s="10"/>
      <c r="G62" s="28"/>
      <c r="H62" s="37"/>
      <c r="I62" s="153"/>
      <c r="J62" s="153"/>
      <c r="K62" s="52"/>
      <c r="L62" s="10"/>
    </row>
    <row r="63" spans="1:13" s="1" customFormat="1" ht="15.75" x14ac:dyDescent="0.3">
      <c r="A63" s="62"/>
      <c r="B63" s="193"/>
      <c r="C63" s="9"/>
      <c r="D63" s="10"/>
      <c r="E63" s="94" t="s">
        <v>297</v>
      </c>
      <c r="F63" s="7"/>
      <c r="G63" s="8"/>
      <c r="H63" s="37"/>
      <c r="I63" s="205">
        <f>$J$54</f>
        <v>3957048.233</v>
      </c>
      <c r="J63" s="135"/>
      <c r="K63" s="52"/>
      <c r="L63" s="10"/>
    </row>
    <row r="64" spans="1:13" s="1" customFormat="1" ht="15.75" x14ac:dyDescent="0.3">
      <c r="A64" s="62"/>
      <c r="B64" s="193"/>
      <c r="C64" s="9"/>
      <c r="D64" s="10"/>
      <c r="E64" s="7" t="s">
        <v>298</v>
      </c>
      <c r="F64" s="7"/>
      <c r="G64" s="8"/>
      <c r="H64" s="37"/>
      <c r="I64" s="204">
        <v>0.06</v>
      </c>
      <c r="J64" s="135"/>
      <c r="K64" s="52"/>
      <c r="L64" s="10"/>
    </row>
    <row r="65" spans="1:13" s="1" customFormat="1" ht="15.75" x14ac:dyDescent="0.3">
      <c r="A65" s="62"/>
      <c r="B65" s="193"/>
      <c r="C65" s="9"/>
      <c r="D65" s="10"/>
      <c r="E65" s="7" t="s">
        <v>299</v>
      </c>
      <c r="F65" s="7"/>
      <c r="G65" s="8"/>
      <c r="H65" s="36"/>
      <c r="I65" s="206">
        <v>12</v>
      </c>
      <c r="J65" s="135"/>
      <c r="K65" s="52"/>
      <c r="L65" s="10"/>
    </row>
    <row r="66" spans="1:13" s="101" customFormat="1" ht="15.75" x14ac:dyDescent="0.3">
      <c r="A66" s="10"/>
      <c r="B66" s="213"/>
      <c r="C66" s="4"/>
      <c r="D66" s="5"/>
      <c r="E66" s="7"/>
      <c r="F66" s="7"/>
      <c r="G66" s="8"/>
      <c r="H66" s="36"/>
      <c r="I66" s="206"/>
      <c r="J66" s="135"/>
      <c r="K66" s="54"/>
      <c r="L66" s="10"/>
    </row>
    <row r="67" spans="1:13" s="101" customFormat="1" ht="7.5" customHeight="1" x14ac:dyDescent="0.3">
      <c r="A67" s="10"/>
      <c r="B67" s="9"/>
      <c r="C67" s="9"/>
      <c r="D67" s="10"/>
      <c r="E67" s="10"/>
      <c r="F67" s="10"/>
      <c r="G67" s="28"/>
      <c r="H67" s="117"/>
      <c r="I67" s="209"/>
      <c r="J67" s="154"/>
      <c r="K67" s="28"/>
      <c r="L67" s="10"/>
    </row>
    <row r="68" spans="1:13" s="1" customFormat="1" ht="15.75" x14ac:dyDescent="0.3">
      <c r="A68" s="62"/>
      <c r="B68" s="214"/>
      <c r="C68" s="18"/>
      <c r="D68" s="19"/>
      <c r="E68" s="19"/>
      <c r="F68" s="19"/>
      <c r="G68" s="152"/>
      <c r="H68" s="34"/>
      <c r="I68" s="215"/>
      <c r="J68" s="34"/>
      <c r="K68" s="51"/>
      <c r="L68" s="10"/>
    </row>
    <row r="69" spans="1:13" s="1" customFormat="1" ht="15.75" x14ac:dyDescent="0.3">
      <c r="A69" s="62"/>
      <c r="B69" s="189"/>
      <c r="C69" s="15" t="s">
        <v>302</v>
      </c>
      <c r="D69" s="14"/>
      <c r="E69" s="15"/>
      <c r="F69" s="16"/>
      <c r="G69" s="17"/>
      <c r="H69" s="17"/>
      <c r="I69" s="17"/>
      <c r="J69" s="17"/>
      <c r="K69" s="190"/>
      <c r="L69" s="10"/>
      <c r="M69" s="101"/>
    </row>
    <row r="70" spans="1:13" s="1" customFormat="1" ht="7.5" customHeight="1" x14ac:dyDescent="0.3">
      <c r="A70" s="62"/>
      <c r="B70" s="191"/>
      <c r="C70" s="187"/>
      <c r="D70" s="187"/>
      <c r="E70" s="187"/>
      <c r="F70" s="187"/>
      <c r="G70" s="187"/>
      <c r="H70" s="187"/>
      <c r="I70" s="187"/>
      <c r="J70" s="187"/>
      <c r="K70" s="192"/>
      <c r="L70" s="10"/>
      <c r="M70" s="101"/>
    </row>
    <row r="71" spans="1:13" s="1" customFormat="1" ht="15.75" x14ac:dyDescent="0.3">
      <c r="A71" s="62"/>
      <c r="B71" s="193"/>
      <c r="D71" s="65" t="s">
        <v>303</v>
      </c>
      <c r="E71" s="68"/>
      <c r="F71" s="29"/>
      <c r="G71" s="68"/>
      <c r="H71" s="210" t="s">
        <v>304</v>
      </c>
      <c r="I71" s="210" t="s">
        <v>305</v>
      </c>
      <c r="J71" s="210" t="s">
        <v>306</v>
      </c>
      <c r="K71" s="194"/>
      <c r="L71" s="10"/>
      <c r="M71" s="101"/>
    </row>
    <row r="72" spans="1:13" s="1" customFormat="1" ht="7.5" customHeight="1" x14ac:dyDescent="0.3">
      <c r="A72" s="62"/>
      <c r="B72" s="193"/>
      <c r="C72" s="9"/>
      <c r="D72" s="9"/>
      <c r="E72" s="10"/>
      <c r="F72" s="10"/>
      <c r="G72" s="28"/>
      <c r="H72" s="37"/>
      <c r="I72" s="153"/>
      <c r="J72" s="153"/>
      <c r="K72" s="52"/>
      <c r="L72" s="10"/>
    </row>
    <row r="73" spans="1:13" s="1" customFormat="1" ht="15.75" x14ac:dyDescent="0.3">
      <c r="A73" s="62"/>
      <c r="B73" s="193"/>
      <c r="C73" s="9"/>
      <c r="D73" s="10"/>
      <c r="E73" s="94" t="s">
        <v>307</v>
      </c>
      <c r="F73" s="7"/>
      <c r="G73" s="8"/>
      <c r="H73" s="37"/>
      <c r="I73" s="202"/>
      <c r="J73" s="135"/>
      <c r="K73" s="52"/>
      <c r="L73" s="10"/>
    </row>
    <row r="74" spans="1:13" s="1" customFormat="1" ht="15.75" x14ac:dyDescent="0.3">
      <c r="A74" s="62"/>
      <c r="B74" s="193"/>
      <c r="C74" s="9"/>
      <c r="D74" s="10"/>
      <c r="E74" s="7" t="s">
        <v>308</v>
      </c>
      <c r="F74" s="101"/>
      <c r="G74" s="8"/>
      <c r="H74" s="37"/>
      <c r="I74" s="202"/>
      <c r="J74" s="135"/>
      <c r="K74" s="52"/>
      <c r="L74" s="10"/>
    </row>
    <row r="75" spans="1:13" s="1" customFormat="1" ht="7.5" customHeight="1" x14ac:dyDescent="0.3">
      <c r="A75" s="62"/>
      <c r="B75" s="193"/>
      <c r="C75" s="9"/>
      <c r="D75" s="10"/>
      <c r="E75" s="7"/>
      <c r="F75" s="7"/>
      <c r="G75" s="8"/>
      <c r="H75" s="33"/>
      <c r="I75" s="202"/>
      <c r="J75" s="33"/>
      <c r="K75" s="52"/>
      <c r="L75" s="10"/>
    </row>
    <row r="76" spans="1:13" s="1" customFormat="1" ht="15.75" x14ac:dyDescent="0.3">
      <c r="A76" s="10"/>
      <c r="B76" s="193"/>
      <c r="C76" s="9"/>
      <c r="D76" s="10"/>
      <c r="E76" s="74" t="s">
        <v>309</v>
      </c>
      <c r="F76" s="7"/>
      <c r="G76" s="8"/>
      <c r="H76" s="33"/>
      <c r="I76" s="202"/>
      <c r="J76" s="33"/>
      <c r="K76" s="52"/>
      <c r="L76" s="10"/>
    </row>
    <row r="77" spans="1:13" s="1" customFormat="1" ht="7.5" customHeight="1" x14ac:dyDescent="0.3">
      <c r="A77" s="10"/>
      <c r="B77" s="193"/>
      <c r="C77" s="9"/>
      <c r="D77" s="10"/>
      <c r="E77" s="7"/>
      <c r="F77" s="7"/>
      <c r="G77" s="8"/>
      <c r="H77" s="33"/>
      <c r="I77" s="202"/>
      <c r="J77" s="33"/>
      <c r="K77" s="52"/>
      <c r="L77" s="10"/>
    </row>
    <row r="78" spans="1:13" s="1" customFormat="1" ht="15.75" x14ac:dyDescent="0.3">
      <c r="A78" s="10"/>
      <c r="B78" s="193"/>
      <c r="C78" s="9"/>
      <c r="D78" s="10"/>
      <c r="E78" s="7" t="s">
        <v>310</v>
      </c>
      <c r="F78" s="7"/>
      <c r="G78" s="8"/>
      <c r="H78" s="33"/>
      <c r="I78" s="202"/>
      <c r="J78" s="33"/>
      <c r="K78" s="52"/>
      <c r="L78" s="10"/>
    </row>
    <row r="79" spans="1:13" s="1" customFormat="1" ht="7.5" customHeight="1" x14ac:dyDescent="0.3">
      <c r="A79" s="10"/>
      <c r="B79" s="193"/>
      <c r="C79" s="9"/>
      <c r="D79" s="10"/>
      <c r="E79" s="7"/>
      <c r="F79" s="7"/>
      <c r="G79" s="8"/>
      <c r="H79" s="33"/>
      <c r="I79" s="202"/>
      <c r="J79" s="33"/>
      <c r="K79" s="52"/>
      <c r="L79" s="10"/>
    </row>
    <row r="80" spans="1:13" s="1" customFormat="1" ht="15.75" x14ac:dyDescent="0.3">
      <c r="A80" s="10"/>
      <c r="B80" s="193"/>
      <c r="C80" s="9"/>
      <c r="D80" s="10"/>
      <c r="E80" s="74" t="s">
        <v>311</v>
      </c>
      <c r="F80" s="7"/>
      <c r="G80" s="8"/>
      <c r="H80" s="33"/>
      <c r="I80" s="202"/>
      <c r="J80" s="33"/>
      <c r="K80" s="52"/>
      <c r="L80" s="10"/>
    </row>
    <row r="81" spans="1:13" s="1" customFormat="1" ht="7.5" customHeight="1" x14ac:dyDescent="0.3">
      <c r="A81" s="10"/>
      <c r="B81" s="193"/>
      <c r="C81" s="9"/>
      <c r="D81" s="10"/>
      <c r="E81" s="7"/>
      <c r="F81" s="7"/>
      <c r="G81" s="8"/>
      <c r="H81" s="33"/>
      <c r="I81" s="202"/>
      <c r="J81" s="33"/>
      <c r="K81" s="52"/>
      <c r="L81" s="10"/>
    </row>
    <row r="82" spans="1:13" s="1" customFormat="1" ht="15.75" x14ac:dyDescent="0.3">
      <c r="A82" s="10"/>
      <c r="B82" s="193"/>
      <c r="C82" s="9"/>
      <c r="D82" s="10"/>
      <c r="E82" s="7" t="s">
        <v>312</v>
      </c>
      <c r="F82" s="7"/>
      <c r="G82" s="8"/>
      <c r="H82" s="33"/>
      <c r="I82" s="202"/>
      <c r="J82" s="33"/>
      <c r="K82" s="52"/>
      <c r="L82" s="10"/>
    </row>
    <row r="83" spans="1:13" s="1" customFormat="1" ht="7.5" customHeight="1" x14ac:dyDescent="0.3">
      <c r="A83" s="10"/>
      <c r="B83" s="193"/>
      <c r="C83" s="9"/>
      <c r="D83" s="10"/>
      <c r="E83" s="7"/>
      <c r="F83" s="7"/>
      <c r="G83" s="8"/>
      <c r="H83" s="33"/>
      <c r="I83" s="202"/>
      <c r="J83" s="33"/>
      <c r="K83" s="52"/>
      <c r="L83" s="10"/>
    </row>
    <row r="84" spans="1:13" s="1" customFormat="1" ht="15.75" x14ac:dyDescent="0.3">
      <c r="A84" s="10"/>
      <c r="B84" s="193"/>
      <c r="C84" s="9"/>
      <c r="D84" s="10"/>
      <c r="E84" s="74" t="s">
        <v>313</v>
      </c>
      <c r="F84" s="7"/>
      <c r="G84" s="8"/>
      <c r="H84" s="33"/>
      <c r="I84" s="202"/>
      <c r="J84" s="33"/>
      <c r="K84" s="52"/>
      <c r="L84" s="10"/>
    </row>
    <row r="85" spans="1:13" s="1" customFormat="1" ht="7.5" customHeight="1" x14ac:dyDescent="0.3">
      <c r="A85" s="10"/>
      <c r="B85" s="193"/>
      <c r="C85" s="9"/>
      <c r="D85" s="10"/>
      <c r="E85" s="7"/>
      <c r="F85" s="7"/>
      <c r="G85" s="8"/>
      <c r="H85" s="33"/>
      <c r="I85" s="202"/>
      <c r="J85" s="33"/>
      <c r="K85" s="52"/>
      <c r="L85" s="10"/>
    </row>
    <row r="86" spans="1:13" s="1" customFormat="1" ht="15.75" x14ac:dyDescent="0.3">
      <c r="A86" s="10"/>
      <c r="B86" s="193"/>
      <c r="C86" s="9"/>
      <c r="D86" s="10"/>
      <c r="E86" s="7" t="s">
        <v>314</v>
      </c>
      <c r="F86" s="7"/>
      <c r="G86" s="8"/>
      <c r="H86" s="33"/>
      <c r="I86" s="202"/>
      <c r="J86" s="33"/>
      <c r="K86" s="52"/>
      <c r="L86" s="10"/>
    </row>
    <row r="87" spans="1:13" s="1" customFormat="1" ht="7.5" customHeight="1" x14ac:dyDescent="0.3">
      <c r="A87" s="10"/>
      <c r="B87" s="193"/>
      <c r="C87" s="9"/>
      <c r="D87" s="10"/>
      <c r="E87" s="7"/>
      <c r="F87" s="7"/>
      <c r="G87" s="8"/>
      <c r="H87" s="33"/>
      <c r="I87" s="202"/>
      <c r="J87" s="33"/>
      <c r="K87" s="52"/>
      <c r="L87" s="10"/>
    </row>
    <row r="88" spans="1:13" ht="15.75" x14ac:dyDescent="0.3">
      <c r="A88" s="176"/>
      <c r="B88" s="180"/>
      <c r="C88" s="181"/>
      <c r="D88" s="181"/>
      <c r="E88" s="74" t="s">
        <v>315</v>
      </c>
      <c r="F88" s="7"/>
      <c r="G88" s="8"/>
      <c r="H88" s="36"/>
      <c r="I88" s="203"/>
      <c r="J88" s="198"/>
      <c r="K88" s="182"/>
      <c r="L88" s="176"/>
    </row>
    <row r="89" spans="1:13" ht="7.5" customHeight="1" x14ac:dyDescent="0.3">
      <c r="A89" s="176"/>
      <c r="B89" s="180"/>
      <c r="C89" s="181"/>
      <c r="D89" s="10"/>
      <c r="E89" s="19"/>
      <c r="F89" s="19"/>
      <c r="G89" s="152"/>
      <c r="H89" s="34"/>
      <c r="I89" s="152"/>
      <c r="J89" s="34"/>
      <c r="K89" s="182"/>
      <c r="L89" s="176"/>
    </row>
    <row r="90" spans="1:13" s="1" customFormat="1" ht="15.75" x14ac:dyDescent="0.3">
      <c r="A90" s="62"/>
      <c r="B90" s="193"/>
      <c r="D90" s="65" t="s">
        <v>316</v>
      </c>
      <c r="E90" s="68"/>
      <c r="F90" s="29"/>
      <c r="G90" s="68"/>
      <c r="H90" s="68"/>
      <c r="I90" s="210" t="s">
        <v>304</v>
      </c>
      <c r="J90" s="210" t="s">
        <v>305</v>
      </c>
      <c r="K90" s="194"/>
      <c r="L90" s="10"/>
      <c r="M90" s="101"/>
    </row>
    <row r="91" spans="1:13" s="1" customFormat="1" ht="7.5" customHeight="1" x14ac:dyDescent="0.3">
      <c r="A91" s="62"/>
      <c r="B91" s="193"/>
      <c r="C91" s="9"/>
      <c r="D91" s="9"/>
      <c r="E91" s="10"/>
      <c r="F91" s="10"/>
      <c r="G91" s="28"/>
      <c r="H91" s="117"/>
      <c r="I91" s="28"/>
      <c r="J91" s="28"/>
      <c r="K91" s="52"/>
      <c r="L91" s="10"/>
      <c r="M91" s="101"/>
    </row>
    <row r="92" spans="1:13" s="1" customFormat="1" ht="15.75" x14ac:dyDescent="0.3">
      <c r="A92" s="62"/>
      <c r="B92" s="193"/>
      <c r="C92" s="9"/>
      <c r="D92" s="10"/>
      <c r="E92" s="78" t="s">
        <v>317</v>
      </c>
      <c r="F92" s="7"/>
      <c r="G92" s="8"/>
      <c r="H92" s="36"/>
      <c r="I92" s="211"/>
      <c r="J92" s="97"/>
      <c r="K92" s="52"/>
      <c r="L92" s="10"/>
    </row>
    <row r="93" spans="1:13" s="1" customFormat="1" ht="15.75" x14ac:dyDescent="0.3">
      <c r="A93" s="62"/>
      <c r="B93" s="193"/>
      <c r="C93" s="9"/>
      <c r="D93" s="10"/>
      <c r="E93" s="7"/>
      <c r="F93" s="7" t="s">
        <v>319</v>
      </c>
      <c r="G93" s="8"/>
      <c r="H93" s="36"/>
      <c r="I93" s="148"/>
      <c r="J93" s="97"/>
      <c r="K93" s="52"/>
      <c r="L93" s="10"/>
    </row>
    <row r="94" spans="1:13" s="1" customFormat="1" ht="15.75" x14ac:dyDescent="0.3">
      <c r="A94" s="62"/>
      <c r="B94" s="193"/>
      <c r="C94" s="9"/>
      <c r="D94" s="10"/>
      <c r="E94" s="7"/>
      <c r="F94" s="7" t="s">
        <v>318</v>
      </c>
      <c r="G94" s="8"/>
      <c r="H94" s="36"/>
      <c r="I94" s="148"/>
      <c r="J94" s="97"/>
      <c r="K94" s="52"/>
      <c r="L94" s="10"/>
    </row>
    <row r="95" spans="1:13" s="1" customFormat="1" ht="15.75" x14ac:dyDescent="0.3">
      <c r="A95" s="62"/>
      <c r="B95" s="193"/>
      <c r="C95" s="9"/>
      <c r="D95" s="10"/>
      <c r="E95" s="7"/>
      <c r="F95" s="7" t="s">
        <v>320</v>
      </c>
      <c r="G95" s="8"/>
      <c r="H95" s="36"/>
      <c r="I95" s="148"/>
      <c r="J95" s="97"/>
      <c r="K95" s="52"/>
      <c r="L95" s="10"/>
    </row>
    <row r="96" spans="1:13" s="1" customFormat="1" ht="7.5" customHeight="1" x14ac:dyDescent="0.3">
      <c r="A96" s="62"/>
      <c r="B96" s="193"/>
      <c r="C96" s="9"/>
      <c r="D96" s="10"/>
      <c r="E96" s="7"/>
      <c r="F96" s="7"/>
      <c r="G96" s="8"/>
      <c r="H96" s="36"/>
      <c r="I96" s="148"/>
      <c r="J96" s="97"/>
      <c r="K96" s="52"/>
      <c r="L96" s="10"/>
    </row>
    <row r="97" spans="1:13" s="1" customFormat="1" ht="15.75" x14ac:dyDescent="0.3">
      <c r="A97" s="62"/>
      <c r="B97" s="193"/>
      <c r="C97" s="9"/>
      <c r="D97" s="10"/>
      <c r="E97" s="74" t="s">
        <v>321</v>
      </c>
      <c r="F97" s="7"/>
      <c r="G97" s="8"/>
      <c r="H97" s="36"/>
      <c r="I97" s="148"/>
      <c r="J97" s="97"/>
      <c r="K97" s="52"/>
      <c r="L97" s="10"/>
    </row>
    <row r="98" spans="1:13" s="1" customFormat="1" ht="15.75" x14ac:dyDescent="0.3">
      <c r="A98" s="62"/>
      <c r="B98" s="193"/>
      <c r="C98" s="9"/>
      <c r="D98" s="10"/>
      <c r="E98" s="7"/>
      <c r="F98" s="7" t="s">
        <v>322</v>
      </c>
      <c r="G98" s="8"/>
      <c r="H98" s="36"/>
      <c r="I98" s="148"/>
      <c r="J98" s="97"/>
      <c r="K98" s="52"/>
      <c r="L98" s="10"/>
    </row>
    <row r="99" spans="1:13" s="1" customFormat="1" ht="15.75" x14ac:dyDescent="0.3">
      <c r="A99" s="62"/>
      <c r="B99" s="193"/>
      <c r="C99" s="9"/>
      <c r="D99" s="10"/>
      <c r="E99" s="7"/>
      <c r="F99" s="7" t="s">
        <v>323</v>
      </c>
      <c r="G99" s="8"/>
      <c r="H99" s="36"/>
      <c r="I99" s="212"/>
      <c r="J99" s="97"/>
      <c r="K99" s="52"/>
      <c r="L99" s="10"/>
    </row>
    <row r="100" spans="1:13" x14ac:dyDescent="0.25">
      <c r="A100" s="176"/>
      <c r="B100" s="183"/>
      <c r="C100" s="184"/>
      <c r="D100" s="184"/>
      <c r="E100" s="184"/>
      <c r="F100" s="184"/>
      <c r="G100" s="184"/>
      <c r="H100" s="184"/>
      <c r="I100" s="184"/>
      <c r="J100" s="184"/>
      <c r="K100" s="185"/>
      <c r="L100" s="176"/>
    </row>
    <row r="101" spans="1:13" ht="7.5" customHeight="1" x14ac:dyDescent="0.25">
      <c r="A101" s="176"/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76"/>
    </row>
    <row r="102" spans="1:13" x14ac:dyDescent="0.25">
      <c r="A102" s="176"/>
      <c r="B102" s="180"/>
      <c r="C102" s="181"/>
      <c r="D102" s="181"/>
      <c r="E102" s="181"/>
      <c r="F102" s="181"/>
      <c r="G102" s="181"/>
      <c r="H102" s="181"/>
      <c r="I102" s="181"/>
      <c r="J102" s="181"/>
      <c r="K102" s="182"/>
      <c r="L102" s="176"/>
    </row>
    <row r="103" spans="1:13" s="1" customFormat="1" ht="15.75" x14ac:dyDescent="0.3">
      <c r="A103" s="62"/>
      <c r="B103" s="189"/>
      <c r="C103" s="15" t="s">
        <v>324</v>
      </c>
      <c r="D103" s="14"/>
      <c r="E103" s="15"/>
      <c r="F103" s="16"/>
      <c r="G103" s="17"/>
      <c r="H103" s="17"/>
      <c r="I103" s="17"/>
      <c r="J103" s="17"/>
      <c r="K103" s="190"/>
      <c r="L103" s="10"/>
      <c r="M103" s="101"/>
    </row>
    <row r="104" spans="1:13" s="1" customFormat="1" ht="7.5" customHeight="1" x14ac:dyDescent="0.3">
      <c r="A104" s="62"/>
      <c r="B104" s="191"/>
      <c r="C104" s="187"/>
      <c r="D104" s="187"/>
      <c r="E104" s="187"/>
      <c r="F104" s="187"/>
      <c r="G104" s="187"/>
      <c r="H104" s="187"/>
      <c r="I104" s="187"/>
      <c r="J104" s="187"/>
      <c r="K104" s="192"/>
      <c r="L104" s="10"/>
      <c r="M104" s="101"/>
    </row>
    <row r="105" spans="1:13" s="1" customFormat="1" ht="15.75" x14ac:dyDescent="0.3">
      <c r="A105" s="62"/>
      <c r="B105" s="193"/>
      <c r="C105" s="69"/>
      <c r="D105" s="220" t="s">
        <v>290</v>
      </c>
      <c r="E105" s="220"/>
      <c r="F105" s="220"/>
      <c r="G105" s="68"/>
      <c r="H105" s="197" t="s">
        <v>327</v>
      </c>
      <c r="I105" s="197" t="s">
        <v>326</v>
      </c>
      <c r="J105" s="197" t="s">
        <v>325</v>
      </c>
      <c r="K105" s="194"/>
      <c r="L105" s="10"/>
      <c r="M105" s="101"/>
    </row>
    <row r="106" spans="1:13" s="1" customFormat="1" ht="7.5" customHeight="1" x14ac:dyDescent="0.3">
      <c r="A106" s="62"/>
      <c r="B106" s="193"/>
      <c r="C106" s="9"/>
      <c r="D106" s="9"/>
      <c r="E106" s="10"/>
      <c r="F106" s="10"/>
      <c r="G106" s="28"/>
      <c r="H106" s="117"/>
      <c r="I106" s="28"/>
      <c r="J106" s="28"/>
      <c r="K106" s="52"/>
      <c r="L106" s="10"/>
      <c r="M106" s="101"/>
    </row>
    <row r="107" spans="1:13" s="1" customFormat="1" ht="15.75" x14ac:dyDescent="0.3">
      <c r="A107" s="62"/>
      <c r="B107" s="193"/>
      <c r="C107" s="9"/>
      <c r="D107" s="10"/>
      <c r="E107" s="94" t="s">
        <v>328</v>
      </c>
      <c r="F107" s="7"/>
      <c r="G107" s="8"/>
      <c r="H107" s="36"/>
      <c r="I107" s="219">
        <v>0.09</v>
      </c>
      <c r="J107" s="97">
        <f>$J$57*$I$53</f>
        <v>1582819.2932000002</v>
      </c>
      <c r="K107" s="52"/>
      <c r="L107" s="10"/>
    </row>
    <row r="108" spans="1:13" s="1" customFormat="1" ht="15.75" x14ac:dyDescent="0.3">
      <c r="A108" s="62"/>
      <c r="B108" s="193"/>
      <c r="C108" s="9"/>
      <c r="D108" s="10"/>
      <c r="E108" s="7" t="s">
        <v>329</v>
      </c>
      <c r="F108" s="7"/>
      <c r="G108" s="8"/>
      <c r="H108" s="36"/>
      <c r="I108" s="219">
        <v>0.18</v>
      </c>
      <c r="J108" s="97">
        <f>$J$57*$I$54</f>
        <v>3957048.233</v>
      </c>
      <c r="K108" s="52"/>
      <c r="L108" s="10"/>
    </row>
    <row r="109" spans="1:13" s="1" customFormat="1" ht="7.5" customHeight="1" x14ac:dyDescent="0.3">
      <c r="A109" s="62"/>
      <c r="B109" s="193"/>
      <c r="C109" s="9"/>
      <c r="D109" s="10"/>
      <c r="E109" s="7"/>
      <c r="F109" s="7"/>
      <c r="G109" s="8"/>
      <c r="H109" s="33"/>
      <c r="I109" s="202"/>
      <c r="J109" s="33"/>
      <c r="K109" s="52"/>
      <c r="L109" s="10"/>
    </row>
    <row r="110" spans="1:13" ht="15.75" x14ac:dyDescent="0.3">
      <c r="A110" s="176"/>
      <c r="B110" s="180"/>
      <c r="C110" s="181"/>
      <c r="D110" s="181"/>
      <c r="E110" s="74" t="s">
        <v>330</v>
      </c>
      <c r="F110" s="7"/>
      <c r="G110" s="8"/>
      <c r="H110" s="36"/>
      <c r="I110" s="203">
        <f>SUM(I107:I108)</f>
        <v>0.27</v>
      </c>
      <c r="J110" s="198">
        <f>$J$107-$J$108</f>
        <v>-2374228.9397999998</v>
      </c>
      <c r="K110" s="182"/>
      <c r="L110" s="176"/>
    </row>
    <row r="111" spans="1:13" ht="7.5" customHeight="1" x14ac:dyDescent="0.25">
      <c r="A111" s="176"/>
      <c r="B111" s="180"/>
      <c r="C111" s="181"/>
      <c r="D111" s="181"/>
      <c r="E111" s="181"/>
      <c r="F111" s="181"/>
      <c r="G111" s="181"/>
      <c r="H111" s="181"/>
      <c r="I111" s="181"/>
      <c r="J111" s="181"/>
      <c r="K111" s="182"/>
      <c r="L111" s="176"/>
    </row>
    <row r="112" spans="1:13" s="1" customFormat="1" ht="15.75" x14ac:dyDescent="0.3">
      <c r="A112" s="62"/>
      <c r="B112" s="193"/>
      <c r="C112" s="101"/>
      <c r="D112" s="220" t="s">
        <v>166</v>
      </c>
      <c r="E112" s="220"/>
      <c r="F112" s="220"/>
      <c r="G112" s="220"/>
      <c r="H112" s="220"/>
      <c r="I112" s="197"/>
      <c r="J112" s="197" t="s">
        <v>325</v>
      </c>
      <c r="K112" s="195"/>
      <c r="L112" s="10"/>
    </row>
    <row r="113" spans="1:12" s="1" customFormat="1" ht="7.5" customHeight="1" x14ac:dyDescent="0.3">
      <c r="A113" s="62"/>
      <c r="B113" s="193"/>
      <c r="C113" s="9"/>
      <c r="D113" s="9"/>
      <c r="E113" s="10"/>
      <c r="F113" s="10"/>
      <c r="G113" s="28"/>
      <c r="H113" s="37"/>
      <c r="I113" s="153"/>
      <c r="J113" s="153"/>
      <c r="K113" s="52"/>
      <c r="L113" s="10"/>
    </row>
    <row r="114" spans="1:12" s="1" customFormat="1" ht="15.75" x14ac:dyDescent="0.3">
      <c r="A114" s="62"/>
      <c r="B114" s="193"/>
      <c r="C114" s="9"/>
      <c r="D114" s="10"/>
      <c r="E114" s="94" t="s">
        <v>331</v>
      </c>
      <c r="F114" s="7"/>
      <c r="G114" s="8"/>
      <c r="H114" s="37"/>
      <c r="I114" s="205"/>
      <c r="J114" s="135"/>
      <c r="K114" s="52"/>
      <c r="L114" s="10"/>
    </row>
    <row r="115" spans="1:12" s="1" customFormat="1" ht="15.75" x14ac:dyDescent="0.3">
      <c r="A115" s="62"/>
      <c r="B115" s="193"/>
      <c r="C115" s="9"/>
      <c r="D115" s="10"/>
      <c r="E115" s="7" t="s">
        <v>332</v>
      </c>
      <c r="F115" s="7"/>
      <c r="G115" s="8"/>
      <c r="H115" s="37"/>
      <c r="I115" s="204"/>
      <c r="J115" s="135"/>
      <c r="K115" s="52"/>
      <c r="L115" s="10"/>
    </row>
    <row r="116" spans="1:12" s="1" customFormat="1" ht="15.75" x14ac:dyDescent="0.3">
      <c r="A116" s="62"/>
      <c r="B116" s="193"/>
      <c r="C116" s="9"/>
      <c r="D116" s="10"/>
      <c r="E116" s="7" t="s">
        <v>333</v>
      </c>
      <c r="F116" s="7"/>
      <c r="G116" s="8"/>
      <c r="H116" s="36"/>
      <c r="I116" s="206"/>
      <c r="J116" s="135"/>
      <c r="K116" s="52"/>
      <c r="L116" s="10"/>
    </row>
    <row r="117" spans="1:12" s="1" customFormat="1" ht="15.75" x14ac:dyDescent="0.3">
      <c r="A117" s="62"/>
      <c r="B117" s="193"/>
      <c r="C117" s="9"/>
      <c r="D117" s="10"/>
      <c r="E117" s="94"/>
      <c r="F117" s="7"/>
      <c r="G117" s="8"/>
      <c r="H117" s="37"/>
      <c r="I117" s="205"/>
      <c r="J117" s="135"/>
      <c r="K117" s="52"/>
      <c r="L117" s="10"/>
    </row>
    <row r="118" spans="1:12" s="1" customFormat="1" ht="15.75" x14ac:dyDescent="0.3">
      <c r="A118" s="62"/>
      <c r="B118" s="193"/>
      <c r="C118" s="9"/>
      <c r="D118" s="10"/>
      <c r="E118" s="7" t="s">
        <v>334</v>
      </c>
      <c r="F118" s="7"/>
      <c r="G118" s="8"/>
      <c r="H118" s="37"/>
      <c r="I118" s="204"/>
      <c r="J118" s="135"/>
      <c r="K118" s="52"/>
      <c r="L118" s="10"/>
    </row>
    <row r="119" spans="1:12" s="1" customFormat="1" ht="7.5" customHeight="1" x14ac:dyDescent="0.3">
      <c r="A119" s="62"/>
      <c r="B119" s="193"/>
      <c r="C119" s="9"/>
      <c r="D119" s="10"/>
      <c r="E119" s="7"/>
      <c r="F119" s="7"/>
      <c r="G119" s="8"/>
      <c r="H119" s="36"/>
      <c r="I119" s="206"/>
      <c r="J119" s="135"/>
      <c r="K119" s="52"/>
      <c r="L119" s="10"/>
    </row>
    <row r="120" spans="1:12" s="1" customFormat="1" ht="15.75" x14ac:dyDescent="0.3">
      <c r="A120" s="62"/>
      <c r="B120" s="193"/>
      <c r="C120" s="9"/>
      <c r="D120" s="10"/>
      <c r="E120" s="94" t="s">
        <v>335</v>
      </c>
      <c r="F120" s="7"/>
      <c r="G120" s="8"/>
      <c r="H120" s="37"/>
      <c r="I120" s="205"/>
      <c r="J120" s="135"/>
      <c r="K120" s="52"/>
      <c r="L120" s="10"/>
    </row>
    <row r="121" spans="1:12" s="1" customFormat="1" ht="7.5" customHeight="1" x14ac:dyDescent="0.3">
      <c r="A121" s="62"/>
      <c r="B121" s="193"/>
      <c r="C121" s="9"/>
      <c r="D121" s="10"/>
      <c r="E121" s="7"/>
      <c r="F121" s="7"/>
      <c r="G121" s="8"/>
      <c r="H121" s="37"/>
      <c r="I121" s="204"/>
      <c r="J121" s="135"/>
      <c r="K121" s="52"/>
      <c r="L121" s="10"/>
    </row>
    <row r="122" spans="1:12" s="1" customFormat="1" ht="15.75" x14ac:dyDescent="0.3">
      <c r="A122" s="62"/>
      <c r="B122" s="193"/>
      <c r="C122" s="9"/>
      <c r="D122" s="10"/>
      <c r="E122" s="7" t="s">
        <v>336</v>
      </c>
      <c r="F122" s="7"/>
      <c r="G122" s="8"/>
      <c r="H122" s="36"/>
      <c r="I122" s="206"/>
      <c r="J122" s="135"/>
      <c r="K122" s="52"/>
      <c r="L122" s="10"/>
    </row>
    <row r="123" spans="1:12" s="1" customFormat="1" ht="7.5" customHeight="1" x14ac:dyDescent="0.3">
      <c r="A123" s="62"/>
      <c r="B123" s="193"/>
      <c r="C123" s="9"/>
      <c r="D123" s="10"/>
      <c r="E123" s="94"/>
      <c r="F123" s="7"/>
      <c r="G123" s="8"/>
      <c r="H123" s="37"/>
      <c r="I123" s="205"/>
      <c r="J123" s="135"/>
      <c r="K123" s="52"/>
      <c r="L123" s="10"/>
    </row>
    <row r="124" spans="1:12" s="1" customFormat="1" ht="15.75" x14ac:dyDescent="0.3">
      <c r="A124" s="62"/>
      <c r="B124" s="193"/>
      <c r="C124" s="9"/>
      <c r="D124" s="10"/>
      <c r="E124" s="7" t="s">
        <v>337</v>
      </c>
      <c r="F124" s="7"/>
      <c r="G124" s="8"/>
      <c r="H124" s="37"/>
      <c r="I124" s="204"/>
      <c r="J124" s="135"/>
      <c r="K124" s="52"/>
      <c r="L124" s="10"/>
    </row>
    <row r="125" spans="1:12" s="1" customFormat="1" ht="7.5" customHeight="1" x14ac:dyDescent="0.3">
      <c r="A125" s="62"/>
      <c r="B125" s="193"/>
      <c r="C125" s="9"/>
      <c r="D125" s="10"/>
      <c r="E125" s="7"/>
      <c r="F125" s="7"/>
      <c r="G125" s="8"/>
      <c r="H125" s="36"/>
      <c r="I125" s="206"/>
      <c r="J125" s="135"/>
      <c r="K125" s="52"/>
      <c r="L125" s="10"/>
    </row>
    <row r="126" spans="1:12" s="1" customFormat="1" ht="15.75" x14ac:dyDescent="0.3">
      <c r="A126" s="62"/>
      <c r="B126" s="193"/>
      <c r="C126" s="9"/>
      <c r="D126" s="10"/>
      <c r="E126" s="94" t="s">
        <v>338</v>
      </c>
      <c r="F126" s="7"/>
      <c r="G126" s="8"/>
      <c r="H126" s="37"/>
      <c r="I126" s="205"/>
      <c r="J126" s="135"/>
      <c r="K126" s="52"/>
      <c r="L126" s="10"/>
    </row>
    <row r="127" spans="1:12" ht="7.5" customHeight="1" x14ac:dyDescent="0.25">
      <c r="A127" s="176"/>
      <c r="B127" s="183"/>
      <c r="C127" s="184"/>
      <c r="D127" s="184"/>
      <c r="E127" s="184"/>
      <c r="F127" s="184"/>
      <c r="G127" s="184"/>
      <c r="H127" s="184"/>
      <c r="I127" s="184"/>
      <c r="J127" s="184"/>
      <c r="K127" s="185"/>
      <c r="L127" s="176"/>
    </row>
    <row r="128" spans="1:12" x14ac:dyDescent="0.25">
      <c r="A128" s="176"/>
      <c r="B128" s="176"/>
      <c r="C128" s="176"/>
      <c r="D128" s="176"/>
      <c r="E128" s="176"/>
      <c r="F128" s="176"/>
      <c r="G128" s="176"/>
      <c r="H128" s="176"/>
      <c r="I128" s="176"/>
      <c r="J128" s="176"/>
      <c r="K128" s="176"/>
      <c r="L128" s="176"/>
    </row>
  </sheetData>
  <mergeCells count="3">
    <mergeCell ref="C35:E35"/>
    <mergeCell ref="H3:J6"/>
    <mergeCell ref="C33:E3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selection activeCell="B2" sqref="B2:L2"/>
    </sheetView>
  </sheetViews>
  <sheetFormatPr baseColWidth="10" defaultRowHeight="15.75" x14ac:dyDescent="0.3"/>
  <cols>
    <col min="1" max="1" width="3" style="1" customWidth="1"/>
    <col min="2" max="2" width="6.28515625" style="1" customWidth="1"/>
    <col min="3" max="3" width="6.42578125" style="1" bestFit="1" customWidth="1"/>
    <col min="4" max="4" width="6.140625" style="1" customWidth="1"/>
    <col min="5" max="5" width="4.5703125" style="1" customWidth="1"/>
    <col min="6" max="6" width="11.42578125" style="1" customWidth="1"/>
    <col min="7" max="7" width="50.28515625" style="1" bestFit="1" customWidth="1"/>
    <col min="8" max="8" width="11.42578125" style="2"/>
    <col min="9" max="9" width="13" style="2" bestFit="1" customWidth="1"/>
    <col min="10" max="10" width="17.7109375" style="2" bestFit="1" customWidth="1"/>
    <col min="11" max="11" width="19.85546875" style="2" bestFit="1" customWidth="1"/>
    <col min="12" max="12" width="17.7109375" style="2" bestFit="1" customWidth="1"/>
    <col min="13" max="13" width="3" style="1" customWidth="1"/>
    <col min="14" max="16384" width="11.42578125" style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42"/>
      <c r="I1" s="142"/>
      <c r="J1" s="142"/>
      <c r="K1" s="142"/>
      <c r="L1" s="142"/>
      <c r="M1" s="61"/>
    </row>
    <row r="2" spans="1:13" x14ac:dyDescent="0.3">
      <c r="A2" s="62"/>
      <c r="B2" s="224" t="s">
        <v>26</v>
      </c>
      <c r="C2" s="224"/>
      <c r="D2" s="224"/>
      <c r="E2" s="221" t="s">
        <v>27</v>
      </c>
      <c r="F2" s="221"/>
      <c r="G2" s="221"/>
      <c r="H2" s="140" t="s">
        <v>4</v>
      </c>
      <c r="I2" s="140" t="s">
        <v>5</v>
      </c>
      <c r="J2" s="140" t="s">
        <v>6</v>
      </c>
      <c r="K2" s="140" t="s">
        <v>7</v>
      </c>
      <c r="L2" s="140" t="s">
        <v>8</v>
      </c>
      <c r="M2" s="63"/>
    </row>
    <row r="3" spans="1:13" ht="7.5" customHeight="1" x14ac:dyDescent="0.3">
      <c r="A3" s="62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63"/>
    </row>
    <row r="4" spans="1:13" x14ac:dyDescent="0.3">
      <c r="A4" s="62"/>
      <c r="B4" s="114">
        <v>1</v>
      </c>
      <c r="C4" s="15" t="s">
        <v>0</v>
      </c>
      <c r="D4" s="14"/>
      <c r="E4" s="15"/>
      <c r="F4" s="16"/>
      <c r="G4" s="16"/>
      <c r="H4" s="17"/>
      <c r="I4" s="17"/>
      <c r="J4" s="17"/>
      <c r="K4" s="17"/>
      <c r="L4" s="17"/>
      <c r="M4" s="63"/>
    </row>
    <row r="5" spans="1:13" ht="7.5" customHeight="1" x14ac:dyDescent="0.3">
      <c r="A5" s="62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63"/>
    </row>
    <row r="6" spans="1:13" x14ac:dyDescent="0.3">
      <c r="A6" s="62"/>
      <c r="B6" s="9"/>
      <c r="C6" s="65">
        <v>1.1000000000000001</v>
      </c>
      <c r="D6" s="66"/>
      <c r="E6" s="67" t="s">
        <v>31</v>
      </c>
      <c r="F6" s="29"/>
      <c r="G6" s="29"/>
      <c r="H6" s="68"/>
      <c r="I6" s="68"/>
      <c r="J6" s="68"/>
      <c r="K6" s="68"/>
      <c r="L6" s="65"/>
      <c r="M6" s="63"/>
    </row>
    <row r="7" spans="1:13" ht="8.25" customHeight="1" x14ac:dyDescent="0.3">
      <c r="A7" s="62"/>
      <c r="B7" s="9"/>
      <c r="C7" s="9"/>
      <c r="D7" s="9"/>
      <c r="E7" s="10"/>
      <c r="F7" s="49"/>
      <c r="G7" s="5"/>
      <c r="H7" s="143"/>
      <c r="I7" s="37"/>
      <c r="J7" s="143"/>
      <c r="K7" s="143"/>
      <c r="L7" s="143"/>
      <c r="M7" s="63"/>
    </row>
    <row r="8" spans="1:13" x14ac:dyDescent="0.3">
      <c r="A8" s="62"/>
      <c r="B8" s="9"/>
      <c r="C8" s="9"/>
      <c r="D8" s="9"/>
      <c r="E8" s="10"/>
      <c r="F8" s="5" t="s">
        <v>40</v>
      </c>
      <c r="G8" s="5"/>
      <c r="H8" s="143" t="s">
        <v>32</v>
      </c>
      <c r="I8" s="141">
        <v>50</v>
      </c>
      <c r="J8" s="143"/>
      <c r="K8" s="143"/>
      <c r="L8" s="143"/>
      <c r="M8" s="63"/>
    </row>
    <row r="9" spans="1:13" x14ac:dyDescent="0.3">
      <c r="A9" s="62"/>
      <c r="B9" s="9"/>
      <c r="C9" s="9"/>
      <c r="D9" s="9"/>
      <c r="E9" s="10"/>
      <c r="F9" s="5" t="s">
        <v>41</v>
      </c>
      <c r="G9" s="5"/>
      <c r="H9" s="143"/>
      <c r="I9" s="141"/>
      <c r="J9" s="143"/>
      <c r="K9" s="143"/>
      <c r="L9" s="143"/>
      <c r="M9" s="63"/>
    </row>
    <row r="10" spans="1:13" x14ac:dyDescent="0.3">
      <c r="A10" s="62"/>
      <c r="B10" s="9"/>
      <c r="C10" s="9"/>
      <c r="D10" s="9"/>
      <c r="E10" s="10"/>
      <c r="F10" s="5"/>
      <c r="G10" s="5" t="s">
        <v>35</v>
      </c>
      <c r="H10" s="143" t="s">
        <v>30</v>
      </c>
      <c r="I10" s="37">
        <v>5</v>
      </c>
      <c r="J10" s="143"/>
      <c r="K10" s="143"/>
      <c r="L10" s="143"/>
      <c r="M10" s="63"/>
    </row>
    <row r="11" spans="1:13" x14ac:dyDescent="0.3">
      <c r="A11" s="62"/>
      <c r="B11" s="9"/>
      <c r="C11" s="9"/>
      <c r="D11" s="9"/>
      <c r="E11" s="10"/>
      <c r="F11" s="5"/>
      <c r="G11" s="5" t="s">
        <v>34</v>
      </c>
      <c r="H11" s="143" t="s">
        <v>30</v>
      </c>
      <c r="I11" s="37">
        <v>20</v>
      </c>
      <c r="J11" s="143"/>
      <c r="K11" s="143"/>
      <c r="L11" s="143"/>
      <c r="M11" s="63"/>
    </row>
    <row r="12" spans="1:13" x14ac:dyDescent="0.3">
      <c r="A12" s="62"/>
      <c r="B12" s="9"/>
      <c r="C12" s="9"/>
      <c r="D12" s="9"/>
      <c r="E12" s="10"/>
      <c r="F12" s="5" t="s">
        <v>54</v>
      </c>
      <c r="G12" s="5"/>
      <c r="H12" s="143" t="s">
        <v>55</v>
      </c>
      <c r="I12" s="141">
        <v>2500</v>
      </c>
      <c r="J12" s="143"/>
      <c r="K12" s="143"/>
      <c r="L12" s="143"/>
      <c r="M12" s="63"/>
    </row>
    <row r="13" spans="1:13" x14ac:dyDescent="0.3">
      <c r="A13" s="62"/>
      <c r="B13" s="9"/>
      <c r="C13" s="9"/>
      <c r="D13" s="9"/>
      <c r="E13" s="10"/>
      <c r="F13" s="7" t="s">
        <v>56</v>
      </c>
      <c r="G13" s="7"/>
      <c r="H13" s="8" t="s">
        <v>33</v>
      </c>
      <c r="I13" s="33" t="s">
        <v>57</v>
      </c>
      <c r="J13" s="8"/>
      <c r="K13" s="33" t="s">
        <v>58</v>
      </c>
      <c r="L13" s="8"/>
      <c r="M13" s="63"/>
    </row>
    <row r="14" spans="1:13" ht="7.5" customHeight="1" x14ac:dyDescent="0.3">
      <c r="A14" s="62"/>
      <c r="B14" s="9"/>
      <c r="C14" s="9"/>
      <c r="D14" s="9"/>
      <c r="E14" s="10"/>
      <c r="F14" s="10"/>
      <c r="G14" s="10"/>
      <c r="H14" s="28"/>
      <c r="I14" s="28"/>
      <c r="J14" s="28"/>
      <c r="K14" s="28"/>
      <c r="L14" s="28"/>
      <c r="M14" s="63"/>
    </row>
    <row r="15" spans="1:13" x14ac:dyDescent="0.3">
      <c r="A15" s="62"/>
      <c r="B15" s="9"/>
      <c r="C15" s="65">
        <v>1.2</v>
      </c>
      <c r="D15" s="66"/>
      <c r="E15" s="67" t="s">
        <v>10</v>
      </c>
      <c r="F15" s="29"/>
      <c r="G15" s="29"/>
      <c r="H15" s="68"/>
      <c r="I15" s="68"/>
      <c r="J15" s="68"/>
      <c r="K15" s="68"/>
      <c r="L15" s="65"/>
      <c r="M15" s="63"/>
    </row>
    <row r="16" spans="1:13" ht="7.5" customHeight="1" x14ac:dyDescent="0.3">
      <c r="A16" s="62"/>
      <c r="B16" s="9"/>
      <c r="C16" s="69"/>
      <c r="D16" s="9"/>
      <c r="E16" s="70"/>
      <c r="F16" s="10"/>
      <c r="G16" s="10"/>
      <c r="H16" s="28"/>
      <c r="I16" s="28"/>
      <c r="J16" s="28"/>
      <c r="K16" s="28"/>
      <c r="L16" s="69"/>
      <c r="M16" s="63"/>
    </row>
    <row r="17" spans="1:13" x14ac:dyDescent="0.3">
      <c r="A17" s="62"/>
      <c r="B17" s="9"/>
      <c r="C17" s="10"/>
      <c r="D17" s="113">
        <v>1.21</v>
      </c>
      <c r="E17" s="31" t="s">
        <v>47</v>
      </c>
      <c r="F17" s="32"/>
      <c r="G17" s="32"/>
      <c r="H17" s="13"/>
      <c r="I17" s="13"/>
      <c r="J17" s="13"/>
      <c r="K17" s="39">
        <v>800</v>
      </c>
      <c r="L17" s="71" t="s">
        <v>3</v>
      </c>
      <c r="M17" s="63"/>
    </row>
    <row r="18" spans="1:13" ht="8.25" customHeight="1" x14ac:dyDescent="0.3">
      <c r="A18" s="62"/>
      <c r="B18" s="9"/>
      <c r="C18" s="9"/>
      <c r="D18" s="9"/>
      <c r="E18" s="10"/>
      <c r="F18" s="49"/>
      <c r="G18" s="5"/>
      <c r="H18" s="143"/>
      <c r="I18" s="37"/>
      <c r="J18" s="143"/>
      <c r="K18" s="143"/>
      <c r="L18" s="143"/>
      <c r="M18" s="63"/>
    </row>
    <row r="19" spans="1:13" x14ac:dyDescent="0.3">
      <c r="A19" s="62"/>
      <c r="B19" s="9"/>
      <c r="C19" s="9"/>
      <c r="D19" s="9"/>
      <c r="E19" s="10"/>
      <c r="F19" s="49" t="s">
        <v>61</v>
      </c>
      <c r="G19" s="5"/>
      <c r="H19" s="143" t="s">
        <v>3</v>
      </c>
      <c r="I19" s="37">
        <f>+K17</f>
        <v>800</v>
      </c>
      <c r="J19" s="143"/>
      <c r="K19" s="143"/>
      <c r="L19" s="143"/>
      <c r="M19" s="63"/>
    </row>
    <row r="20" spans="1:13" x14ac:dyDescent="0.3">
      <c r="A20" s="62"/>
      <c r="B20" s="9"/>
      <c r="C20" s="9"/>
      <c r="D20" s="9"/>
      <c r="E20" s="10"/>
      <c r="F20" s="7"/>
      <c r="G20" s="5" t="s">
        <v>42</v>
      </c>
      <c r="H20" s="143" t="s">
        <v>3</v>
      </c>
      <c r="I20" s="37">
        <f>($I$19*$I$8)/100</f>
        <v>400</v>
      </c>
      <c r="J20" s="143"/>
      <c r="K20" s="143"/>
      <c r="L20" s="143"/>
      <c r="M20" s="63"/>
    </row>
    <row r="21" spans="1:13" x14ac:dyDescent="0.3">
      <c r="A21" s="62"/>
      <c r="B21" s="9"/>
      <c r="C21" s="9"/>
      <c r="D21" s="9"/>
      <c r="E21" s="10"/>
      <c r="F21" s="7"/>
      <c r="G21" s="7" t="s">
        <v>43</v>
      </c>
      <c r="H21" s="8" t="s">
        <v>3</v>
      </c>
      <c r="I21" s="36">
        <f>$I$11*$I$10</f>
        <v>100</v>
      </c>
      <c r="J21" s="8"/>
      <c r="K21" s="8"/>
      <c r="L21" s="8"/>
      <c r="M21" s="63"/>
    </row>
    <row r="22" spans="1:13" x14ac:dyDescent="0.3">
      <c r="A22" s="62"/>
      <c r="B22" s="9"/>
      <c r="C22" s="9"/>
      <c r="D22" s="9"/>
      <c r="E22" s="10"/>
      <c r="F22" s="7"/>
      <c r="G22" s="7" t="s">
        <v>46</v>
      </c>
      <c r="H22" s="8" t="s">
        <v>3</v>
      </c>
      <c r="I22" s="33">
        <f>$I$19-$I$20-$I$21</f>
        <v>300</v>
      </c>
      <c r="J22" s="8"/>
      <c r="K22" s="33"/>
      <c r="L22" s="8"/>
      <c r="M22" s="63"/>
    </row>
    <row r="23" spans="1:13" ht="7.5" customHeight="1" x14ac:dyDescent="0.3">
      <c r="A23" s="62"/>
      <c r="B23" s="9"/>
      <c r="C23" s="9"/>
      <c r="D23" s="9"/>
      <c r="E23" s="10"/>
      <c r="F23" s="10"/>
      <c r="G23" s="10"/>
      <c r="H23" s="28"/>
      <c r="I23" s="28"/>
      <c r="J23" s="28"/>
      <c r="K23" s="28"/>
      <c r="L23" s="28"/>
      <c r="M23" s="63"/>
    </row>
    <row r="24" spans="1:13" x14ac:dyDescent="0.3">
      <c r="A24" s="62"/>
      <c r="B24" s="9"/>
      <c r="C24" s="10"/>
      <c r="D24" s="113">
        <v>1.22</v>
      </c>
      <c r="E24" s="31" t="s">
        <v>48</v>
      </c>
      <c r="F24" s="30"/>
      <c r="G24" s="30"/>
      <c r="H24" s="13"/>
      <c r="I24" s="13"/>
      <c r="J24" s="13"/>
      <c r="K24" s="39">
        <f>$I$37</f>
        <v>12300</v>
      </c>
      <c r="L24" s="71" t="s">
        <v>3</v>
      </c>
      <c r="M24" s="63"/>
    </row>
    <row r="25" spans="1:13" ht="8.25" customHeight="1" x14ac:dyDescent="0.3">
      <c r="A25" s="62"/>
      <c r="B25" s="9"/>
      <c r="C25" s="9"/>
      <c r="D25" s="9"/>
      <c r="E25" s="10"/>
      <c r="F25" s="49"/>
      <c r="G25" s="5"/>
      <c r="H25" s="143"/>
      <c r="I25" s="37"/>
      <c r="J25" s="143"/>
      <c r="K25" s="143"/>
      <c r="L25" s="143"/>
      <c r="M25" s="63"/>
    </row>
    <row r="26" spans="1:13" x14ac:dyDescent="0.3">
      <c r="A26" s="62"/>
      <c r="B26" s="56"/>
      <c r="C26" s="56"/>
      <c r="D26" s="56"/>
      <c r="E26" s="57"/>
      <c r="F26" s="48" t="s">
        <v>59</v>
      </c>
      <c r="G26" s="23"/>
      <c r="H26" s="143"/>
      <c r="I26" s="143"/>
      <c r="J26" s="143"/>
      <c r="K26" s="143"/>
      <c r="L26" s="143"/>
      <c r="M26" s="63"/>
    </row>
    <row r="27" spans="1:13" x14ac:dyDescent="0.3">
      <c r="A27" s="62"/>
      <c r="B27" s="56"/>
      <c r="C27" s="56"/>
      <c r="D27" s="56"/>
      <c r="E27" s="57"/>
      <c r="F27" s="24"/>
      <c r="G27" s="24" t="s">
        <v>52</v>
      </c>
      <c r="H27" s="8" t="s">
        <v>3</v>
      </c>
      <c r="I27" s="36">
        <f>+I19</f>
        <v>800</v>
      </c>
      <c r="J27" s="8"/>
      <c r="K27" s="8"/>
      <c r="L27" s="8"/>
      <c r="M27" s="63"/>
    </row>
    <row r="28" spans="1:13" x14ac:dyDescent="0.3">
      <c r="A28" s="62"/>
      <c r="B28" s="55"/>
      <c r="C28" s="55"/>
      <c r="D28" s="55"/>
      <c r="E28" s="28"/>
      <c r="F28" s="8"/>
      <c r="G28" s="33" t="s">
        <v>2</v>
      </c>
      <c r="H28" s="8" t="s">
        <v>53</v>
      </c>
      <c r="I28" s="38">
        <v>5</v>
      </c>
      <c r="J28" s="8"/>
      <c r="K28" s="8"/>
      <c r="L28" s="8"/>
      <c r="M28" s="63"/>
    </row>
    <row r="29" spans="1:13" x14ac:dyDescent="0.3">
      <c r="A29" s="62"/>
      <c r="B29" s="55"/>
      <c r="C29" s="55"/>
      <c r="D29" s="55"/>
      <c r="E29" s="28"/>
      <c r="F29" s="44" t="s">
        <v>50</v>
      </c>
      <c r="G29" s="45"/>
      <c r="H29" s="45" t="s">
        <v>3</v>
      </c>
      <c r="I29" s="46">
        <f>$I$28*$I$27</f>
        <v>4000</v>
      </c>
      <c r="J29" s="8"/>
      <c r="K29" s="8"/>
      <c r="L29" s="8"/>
      <c r="M29" s="63"/>
    </row>
    <row r="30" spans="1:13" ht="7.5" customHeight="1" x14ac:dyDescent="0.3">
      <c r="A30" s="62"/>
      <c r="B30" s="55"/>
      <c r="C30" s="55"/>
      <c r="D30" s="55"/>
      <c r="E30" s="28"/>
      <c r="F30" s="44"/>
      <c r="G30" s="45"/>
      <c r="H30" s="45"/>
      <c r="I30" s="46"/>
      <c r="J30" s="8"/>
      <c r="K30" s="8"/>
      <c r="L30" s="8"/>
      <c r="M30" s="63"/>
    </row>
    <row r="31" spans="1:13" x14ac:dyDescent="0.3">
      <c r="A31" s="62"/>
      <c r="B31" s="55"/>
      <c r="C31" s="55"/>
      <c r="D31" s="55"/>
      <c r="E31" s="28"/>
      <c r="F31" s="47" t="s">
        <v>60</v>
      </c>
      <c r="G31" s="33"/>
      <c r="H31" s="8"/>
      <c r="I31" s="36"/>
      <c r="J31" s="8"/>
      <c r="K31" s="8"/>
      <c r="L31" s="8"/>
      <c r="M31" s="63"/>
    </row>
    <row r="32" spans="1:13" x14ac:dyDescent="0.3">
      <c r="A32" s="62"/>
      <c r="B32" s="55"/>
      <c r="C32" s="55"/>
      <c r="D32" s="55"/>
      <c r="E32" s="28"/>
      <c r="F32" s="8"/>
      <c r="G32" s="33" t="s">
        <v>44</v>
      </c>
      <c r="H32" s="8" t="s">
        <v>3</v>
      </c>
      <c r="I32" s="36">
        <f>$I$19-$I$21</f>
        <v>700</v>
      </c>
      <c r="J32" s="8"/>
      <c r="K32" s="8"/>
      <c r="L32" s="8"/>
      <c r="M32" s="63"/>
    </row>
    <row r="33" spans="1:13" x14ac:dyDescent="0.3">
      <c r="A33" s="62"/>
      <c r="B33" s="55"/>
      <c r="C33" s="55"/>
      <c r="D33" s="55"/>
      <c r="E33" s="28"/>
      <c r="F33" s="8"/>
      <c r="G33" s="33" t="s">
        <v>45</v>
      </c>
      <c r="H33" s="8" t="s">
        <v>3</v>
      </c>
      <c r="I33" s="36">
        <f>I20</f>
        <v>400</v>
      </c>
      <c r="J33" s="8"/>
      <c r="K33" s="8"/>
      <c r="L33" s="8"/>
      <c r="M33" s="63"/>
    </row>
    <row r="34" spans="1:13" x14ac:dyDescent="0.3">
      <c r="A34" s="62"/>
      <c r="B34" s="55"/>
      <c r="C34" s="55"/>
      <c r="D34" s="55"/>
      <c r="E34" s="28"/>
      <c r="F34" s="8"/>
      <c r="G34" s="33" t="s">
        <v>51</v>
      </c>
      <c r="H34" s="8" t="s">
        <v>33</v>
      </c>
      <c r="I34" s="38">
        <v>20</v>
      </c>
      <c r="J34" s="8"/>
      <c r="K34" s="8"/>
      <c r="L34" s="8"/>
      <c r="M34" s="63"/>
    </row>
    <row r="35" spans="1:13" x14ac:dyDescent="0.3">
      <c r="A35" s="62"/>
      <c r="B35" s="55"/>
      <c r="C35" s="55"/>
      <c r="D35" s="55"/>
      <c r="E35" s="28"/>
      <c r="F35" s="44" t="s">
        <v>49</v>
      </c>
      <c r="G35" s="44"/>
      <c r="H35" s="45" t="s">
        <v>3</v>
      </c>
      <c r="I35" s="46">
        <f>($I$33*($I$34-1))+I32</f>
        <v>8300</v>
      </c>
      <c r="J35" s="8"/>
      <c r="K35" s="8"/>
      <c r="L35" s="8"/>
      <c r="M35" s="63"/>
    </row>
    <row r="36" spans="1:13" ht="7.5" customHeight="1" x14ac:dyDescent="0.3">
      <c r="A36" s="62"/>
      <c r="B36" s="55"/>
      <c r="C36" s="55"/>
      <c r="D36" s="55"/>
      <c r="E36" s="28"/>
      <c r="F36" s="34"/>
      <c r="G36" s="34"/>
      <c r="H36" s="142"/>
      <c r="I36" s="43"/>
      <c r="J36" s="142"/>
      <c r="K36" s="8"/>
      <c r="L36" s="142"/>
      <c r="M36" s="63"/>
    </row>
    <row r="37" spans="1:13" x14ac:dyDescent="0.3">
      <c r="A37" s="62"/>
      <c r="B37" s="9"/>
      <c r="C37" s="9"/>
      <c r="D37" s="9"/>
      <c r="E37" s="10"/>
      <c r="F37" s="74" t="s">
        <v>62</v>
      </c>
      <c r="G37" s="74"/>
      <c r="H37" s="45" t="s">
        <v>3</v>
      </c>
      <c r="I37" s="44">
        <f>$I$35+$I$29</f>
        <v>12300</v>
      </c>
      <c r="J37" s="8"/>
      <c r="K37" s="33"/>
      <c r="L37" s="8"/>
      <c r="M37" s="63"/>
    </row>
    <row r="38" spans="1:13" ht="7.5" customHeight="1" x14ac:dyDescent="0.3">
      <c r="A38" s="53"/>
      <c r="B38" s="4"/>
      <c r="C38" s="4"/>
      <c r="D38" s="4"/>
      <c r="E38" s="5"/>
      <c r="F38" s="5"/>
      <c r="G38" s="5"/>
      <c r="H38" s="143"/>
      <c r="I38" s="143"/>
      <c r="J38" s="143"/>
      <c r="K38" s="143"/>
      <c r="L38" s="143"/>
      <c r="M38" s="72"/>
    </row>
  </sheetData>
  <mergeCells count="4">
    <mergeCell ref="B5:L5"/>
    <mergeCell ref="B2:D2"/>
    <mergeCell ref="E2:G2"/>
    <mergeCell ref="B3:L3"/>
  </mergeCells>
  <pageMargins left="0.7" right="0.7" top="0.75" bottom="0.75" header="0.3" footer="0.3"/>
  <pageSetup paperSize="9" scale="5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G15" sqref="G15"/>
    </sheetView>
  </sheetViews>
  <sheetFormatPr baseColWidth="10" defaultRowHeight="15.75" x14ac:dyDescent="0.3"/>
  <cols>
    <col min="1" max="1" width="3" style="1" customWidth="1"/>
    <col min="2" max="2" width="5.85546875" style="1" bestFit="1" customWidth="1"/>
    <col min="3" max="3" width="6.42578125" style="1" bestFit="1" customWidth="1"/>
    <col min="4" max="4" width="5.85546875" style="1" bestFit="1" customWidth="1"/>
    <col min="5" max="5" width="4.5703125" style="1" customWidth="1"/>
    <col min="6" max="6" width="11.42578125" style="1" customWidth="1"/>
    <col min="7" max="7" width="50.28515625" style="1" bestFit="1" customWidth="1"/>
    <col min="8" max="8" width="11.42578125" style="2"/>
    <col min="9" max="9" width="13" style="2" bestFit="1" customWidth="1"/>
    <col min="10" max="10" width="17.7109375" style="2" bestFit="1" customWidth="1"/>
    <col min="11" max="12" width="19.85546875" style="2" bestFit="1" customWidth="1"/>
    <col min="13" max="13" width="3" style="1" customWidth="1"/>
    <col min="14" max="16384" width="11.42578125" style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  <c r="M1" s="61"/>
    </row>
    <row r="2" spans="1:13" x14ac:dyDescent="0.3">
      <c r="A2" s="62"/>
      <c r="B2" s="224" t="s">
        <v>26</v>
      </c>
      <c r="C2" s="224"/>
      <c r="D2" s="224"/>
      <c r="E2" s="221" t="s">
        <v>27</v>
      </c>
      <c r="F2" s="221"/>
      <c r="G2" s="221"/>
      <c r="H2" s="64" t="s">
        <v>4</v>
      </c>
      <c r="I2" s="64" t="s">
        <v>5</v>
      </c>
      <c r="J2" s="64" t="s">
        <v>6</v>
      </c>
      <c r="K2" s="64" t="s">
        <v>7</v>
      </c>
      <c r="L2" s="64" t="s">
        <v>8</v>
      </c>
      <c r="M2" s="63"/>
    </row>
    <row r="3" spans="1:13" ht="7.5" customHeight="1" x14ac:dyDescent="0.3">
      <c r="A3" s="62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63"/>
    </row>
    <row r="4" spans="1:13" x14ac:dyDescent="0.3">
      <c r="A4" s="62"/>
      <c r="B4" s="14">
        <v>2</v>
      </c>
      <c r="C4" s="14"/>
      <c r="D4" s="14"/>
      <c r="E4" s="15" t="s">
        <v>9</v>
      </c>
      <c r="F4" s="16"/>
      <c r="G4" s="16"/>
      <c r="H4" s="17"/>
      <c r="I4" s="17"/>
      <c r="J4" s="17"/>
      <c r="K4" s="17"/>
      <c r="L4" s="85">
        <f>$L$6+$L$26</f>
        <v>1471898.22</v>
      </c>
      <c r="M4" s="63"/>
    </row>
    <row r="5" spans="1:13" ht="7.5" customHeight="1" x14ac:dyDescent="0.3">
      <c r="A5" s="62"/>
      <c r="B5" s="9"/>
      <c r="C5" s="9"/>
      <c r="D5" s="9"/>
      <c r="E5" s="10"/>
      <c r="F5" s="10"/>
      <c r="G5" s="10"/>
      <c r="H5" s="11"/>
      <c r="I5" s="11"/>
      <c r="J5" s="11"/>
      <c r="K5" s="11"/>
      <c r="L5" s="11"/>
      <c r="M5" s="63"/>
    </row>
    <row r="6" spans="1:13" x14ac:dyDescent="0.3">
      <c r="A6" s="62"/>
      <c r="B6" s="9"/>
      <c r="C6" s="65">
        <v>2.1</v>
      </c>
      <c r="D6" s="66"/>
      <c r="E6" s="67" t="s">
        <v>11</v>
      </c>
      <c r="F6" s="29"/>
      <c r="G6" s="29"/>
      <c r="H6" s="68"/>
      <c r="I6" s="68"/>
      <c r="J6" s="68"/>
      <c r="K6" s="68"/>
      <c r="L6" s="85">
        <f>$K$8+$K$20</f>
        <v>1448444.44</v>
      </c>
      <c r="M6" s="63"/>
    </row>
    <row r="7" spans="1:13" ht="7.5" customHeight="1" x14ac:dyDescent="0.3">
      <c r="A7" s="62"/>
      <c r="B7" s="9"/>
      <c r="C7" s="9"/>
      <c r="D7" s="9"/>
      <c r="E7" s="10"/>
      <c r="F7" s="10"/>
      <c r="G7" s="10"/>
      <c r="H7" s="11"/>
      <c r="I7" s="11"/>
      <c r="J7" s="11"/>
      <c r="K7" s="11"/>
      <c r="L7" s="11"/>
      <c r="M7" s="63"/>
    </row>
    <row r="8" spans="1:13" x14ac:dyDescent="0.3">
      <c r="A8" s="62"/>
      <c r="B8" s="9"/>
      <c r="C8" s="10"/>
      <c r="D8" s="30">
        <v>2.11</v>
      </c>
      <c r="E8" s="31" t="s">
        <v>12</v>
      </c>
      <c r="F8" s="32"/>
      <c r="G8" s="32"/>
      <c r="H8" s="13"/>
      <c r="I8" s="13"/>
      <c r="J8" s="13"/>
      <c r="K8" s="85">
        <f>SUM(K10:K18)</f>
        <v>1442644.44</v>
      </c>
      <c r="L8" s="13"/>
      <c r="M8" s="63"/>
    </row>
    <row r="9" spans="1:13" s="3" customFormat="1" ht="7.5" customHeight="1" x14ac:dyDescent="0.3">
      <c r="A9" s="62"/>
      <c r="B9" s="9"/>
      <c r="C9" s="10"/>
      <c r="D9" s="9"/>
      <c r="E9" s="70"/>
      <c r="F9" s="10"/>
      <c r="G9" s="10"/>
      <c r="H9" s="28"/>
      <c r="I9" s="28"/>
      <c r="J9" s="28"/>
      <c r="K9" s="123"/>
      <c r="L9" s="28"/>
      <c r="M9" s="63"/>
    </row>
    <row r="10" spans="1:13" x14ac:dyDescent="0.3">
      <c r="A10" s="62"/>
      <c r="B10" s="9"/>
      <c r="C10" s="9"/>
      <c r="D10" s="9"/>
      <c r="E10" s="10"/>
      <c r="F10" s="7" t="s">
        <v>13</v>
      </c>
      <c r="G10" s="7"/>
      <c r="H10" s="8" t="s">
        <v>3</v>
      </c>
      <c r="I10" s="36">
        <f>'01 - Terreno - Datos'!$I$19</f>
        <v>800</v>
      </c>
      <c r="J10" s="41">
        <v>1750</v>
      </c>
      <c r="K10" s="42">
        <f>+I10*J10</f>
        <v>1400000</v>
      </c>
      <c r="L10" s="8"/>
      <c r="M10" s="63"/>
    </row>
    <row r="11" spans="1:13" x14ac:dyDescent="0.3">
      <c r="A11" s="62"/>
      <c r="B11" s="9"/>
      <c r="C11" s="9"/>
      <c r="D11" s="9"/>
      <c r="E11" s="10"/>
      <c r="F11" s="7" t="s">
        <v>14</v>
      </c>
      <c r="G11" s="7"/>
      <c r="H11" s="8" t="s">
        <v>18</v>
      </c>
      <c r="I11" s="89">
        <v>1</v>
      </c>
      <c r="J11" s="41">
        <v>600</v>
      </c>
      <c r="K11" s="42">
        <f>+I11*J11</f>
        <v>600</v>
      </c>
      <c r="L11" s="8"/>
      <c r="M11" s="63"/>
    </row>
    <row r="12" spans="1:13" x14ac:dyDescent="0.3">
      <c r="A12" s="62"/>
      <c r="B12" s="9"/>
      <c r="C12" s="9"/>
      <c r="D12" s="9"/>
      <c r="E12" s="10"/>
      <c r="F12" s="7" t="s">
        <v>15</v>
      </c>
      <c r="G12" s="7"/>
      <c r="H12" s="8" t="s">
        <v>36</v>
      </c>
      <c r="I12" s="89">
        <v>1</v>
      </c>
      <c r="J12" s="41">
        <v>444.44</v>
      </c>
      <c r="K12" s="42">
        <f>+I12*J12</f>
        <v>444.44</v>
      </c>
      <c r="L12" s="8"/>
      <c r="M12" s="63"/>
    </row>
    <row r="13" spans="1:13" ht="7.5" customHeight="1" x14ac:dyDescent="0.3">
      <c r="A13" s="62"/>
      <c r="B13" s="9"/>
      <c r="C13" s="9"/>
      <c r="D13" s="9"/>
      <c r="E13" s="10"/>
      <c r="F13" s="7"/>
      <c r="G13" s="7"/>
      <c r="H13" s="8"/>
      <c r="I13" s="8"/>
      <c r="J13" s="20"/>
      <c r="K13" s="20"/>
      <c r="L13" s="20"/>
      <c r="M13" s="63"/>
    </row>
    <row r="14" spans="1:13" x14ac:dyDescent="0.3">
      <c r="A14" s="62"/>
      <c r="B14" s="9"/>
      <c r="C14" s="9"/>
      <c r="D14" s="9"/>
      <c r="E14" s="10"/>
      <c r="F14" s="7" t="s">
        <v>16</v>
      </c>
      <c r="G14" s="7"/>
      <c r="H14" s="8" t="s">
        <v>20</v>
      </c>
      <c r="I14" s="90">
        <v>0.03</v>
      </c>
      <c r="J14" s="8"/>
      <c r="K14" s="8"/>
      <c r="L14" s="8"/>
      <c r="M14" s="63"/>
    </row>
    <row r="15" spans="1:13" x14ac:dyDescent="0.3">
      <c r="A15" s="62"/>
      <c r="B15" s="9"/>
      <c r="C15" s="9"/>
      <c r="D15" s="9"/>
      <c r="E15" s="10"/>
      <c r="F15" s="58" t="s">
        <v>39</v>
      </c>
      <c r="G15" s="19"/>
      <c r="H15" s="20" t="s">
        <v>38</v>
      </c>
      <c r="I15" s="91">
        <v>3600</v>
      </c>
      <c r="J15" s="97">
        <f>$K$10-(($I$15*$I$16)/2.7)</f>
        <v>1386666.6666666667</v>
      </c>
      <c r="K15" s="97">
        <f>+I14*J15</f>
        <v>41600</v>
      </c>
      <c r="L15" s="8"/>
      <c r="M15" s="63"/>
    </row>
    <row r="16" spans="1:13" x14ac:dyDescent="0.3">
      <c r="A16" s="62"/>
      <c r="B16" s="9"/>
      <c r="C16" s="9"/>
      <c r="D16" s="9"/>
      <c r="E16" s="10"/>
      <c r="F16" s="34" t="s">
        <v>37</v>
      </c>
      <c r="G16" s="19"/>
      <c r="H16" s="20" t="s">
        <v>38</v>
      </c>
      <c r="I16" s="91">
        <v>10</v>
      </c>
      <c r="J16" s="97"/>
      <c r="K16" s="97"/>
      <c r="L16" s="8"/>
      <c r="M16" s="63"/>
    </row>
    <row r="17" spans="1:13" ht="7.5" customHeight="1" x14ac:dyDescent="0.3">
      <c r="A17" s="62"/>
      <c r="B17" s="9"/>
      <c r="C17" s="9"/>
      <c r="D17" s="9"/>
      <c r="E17" s="10"/>
      <c r="F17" s="21"/>
      <c r="G17" s="19"/>
      <c r="H17" s="20"/>
      <c r="I17" s="27"/>
      <c r="J17" s="28"/>
      <c r="K17" s="28"/>
      <c r="L17" s="28"/>
      <c r="M17" s="63"/>
    </row>
    <row r="18" spans="1:13" x14ac:dyDescent="0.3">
      <c r="A18" s="62"/>
      <c r="B18" s="9"/>
      <c r="C18" s="9"/>
      <c r="D18" s="9"/>
      <c r="E18" s="10"/>
      <c r="F18" s="7" t="s">
        <v>17</v>
      </c>
      <c r="G18" s="7"/>
      <c r="H18" s="8"/>
      <c r="I18" s="8"/>
      <c r="J18" s="8"/>
      <c r="K18" s="8"/>
      <c r="L18" s="8"/>
      <c r="M18" s="63"/>
    </row>
    <row r="19" spans="1:13" ht="7.5" customHeight="1" x14ac:dyDescent="0.3">
      <c r="A19" s="62"/>
      <c r="B19" s="9"/>
      <c r="C19" s="9"/>
      <c r="D19" s="9"/>
      <c r="E19" s="10"/>
      <c r="F19" s="10"/>
      <c r="G19" s="10"/>
      <c r="H19" s="28"/>
      <c r="I19" s="28"/>
      <c r="J19" s="28"/>
      <c r="K19" s="28"/>
      <c r="L19" s="28"/>
      <c r="M19" s="63"/>
    </row>
    <row r="20" spans="1:13" x14ac:dyDescent="0.3">
      <c r="A20" s="62"/>
      <c r="B20" s="9"/>
      <c r="C20" s="10"/>
      <c r="D20" s="30">
        <v>2.12</v>
      </c>
      <c r="E20" s="31" t="s">
        <v>21</v>
      </c>
      <c r="F20" s="32"/>
      <c r="G20" s="32"/>
      <c r="H20" s="13"/>
      <c r="I20" s="13"/>
      <c r="J20" s="13"/>
      <c r="K20" s="85">
        <f>SUM(K22:K24)</f>
        <v>5800</v>
      </c>
      <c r="L20" s="13"/>
      <c r="M20" s="63"/>
    </row>
    <row r="21" spans="1:13" s="3" customFormat="1" ht="7.5" customHeight="1" x14ac:dyDescent="0.3">
      <c r="A21" s="62"/>
      <c r="B21" s="9"/>
      <c r="C21" s="10"/>
      <c r="D21" s="9"/>
      <c r="E21" s="70"/>
      <c r="F21" s="10"/>
      <c r="G21" s="10"/>
      <c r="H21" s="28"/>
      <c r="I21" s="28"/>
      <c r="J21" s="28"/>
      <c r="K21" s="123"/>
      <c r="L21" s="28"/>
      <c r="M21" s="63"/>
    </row>
    <row r="22" spans="1:13" x14ac:dyDescent="0.3">
      <c r="A22" s="62"/>
      <c r="B22" s="9"/>
      <c r="C22" s="9"/>
      <c r="D22" s="9"/>
      <c r="E22" s="10"/>
      <c r="F22" s="7" t="s">
        <v>68</v>
      </c>
      <c r="G22" s="7"/>
      <c r="H22" s="8" t="s">
        <v>20</v>
      </c>
      <c r="I22" s="148">
        <v>3.0000000000000001E-3</v>
      </c>
      <c r="J22" s="86">
        <f>K10</f>
        <v>1400000</v>
      </c>
      <c r="K22" s="42">
        <f>+I22*J22</f>
        <v>4200</v>
      </c>
      <c r="L22" s="8"/>
      <c r="M22" s="63"/>
    </row>
    <row r="23" spans="1:13" x14ac:dyDescent="0.3">
      <c r="A23" s="62"/>
      <c r="B23" s="9"/>
      <c r="C23" s="9"/>
      <c r="D23" s="9"/>
      <c r="E23" s="10"/>
      <c r="F23" s="7" t="s">
        <v>22</v>
      </c>
      <c r="G23" s="7"/>
      <c r="H23" s="8" t="s">
        <v>18</v>
      </c>
      <c r="I23" s="89">
        <v>1</v>
      </c>
      <c r="J23" s="86">
        <v>1500</v>
      </c>
      <c r="K23" s="42">
        <f>+I23*J23</f>
        <v>1500</v>
      </c>
      <c r="L23" s="8"/>
      <c r="M23" s="63"/>
    </row>
    <row r="24" spans="1:13" x14ac:dyDescent="0.3">
      <c r="A24" s="62"/>
      <c r="B24" s="9"/>
      <c r="C24" s="9"/>
      <c r="D24" s="9"/>
      <c r="E24" s="10"/>
      <c r="F24" s="7" t="s">
        <v>23</v>
      </c>
      <c r="G24" s="7"/>
      <c r="H24" s="8" t="s">
        <v>18</v>
      </c>
      <c r="I24" s="8">
        <v>1</v>
      </c>
      <c r="J24" s="8">
        <v>100</v>
      </c>
      <c r="K24" s="8">
        <f>+I24*J24</f>
        <v>100</v>
      </c>
      <c r="L24" s="8"/>
      <c r="M24" s="63"/>
    </row>
    <row r="25" spans="1:13" ht="7.5" customHeight="1" x14ac:dyDescent="0.3">
      <c r="A25" s="62"/>
      <c r="B25" s="9"/>
      <c r="C25" s="9"/>
      <c r="D25" s="9"/>
      <c r="E25" s="10"/>
      <c r="F25" s="10"/>
      <c r="G25" s="10"/>
      <c r="H25" s="11"/>
      <c r="I25" s="11"/>
      <c r="J25" s="11"/>
      <c r="K25" s="11"/>
      <c r="L25" s="11"/>
      <c r="M25" s="63"/>
    </row>
    <row r="26" spans="1:13" x14ac:dyDescent="0.3">
      <c r="A26" s="62"/>
      <c r="B26" s="9"/>
      <c r="C26" s="65">
        <v>2.2000000000000002</v>
      </c>
      <c r="D26" s="29"/>
      <c r="E26" s="67" t="s">
        <v>24</v>
      </c>
      <c r="F26" s="29"/>
      <c r="G26" s="29"/>
      <c r="H26" s="68"/>
      <c r="I26" s="68"/>
      <c r="J26" s="68"/>
      <c r="K26" s="68"/>
      <c r="L26" s="85">
        <f>$K$28+$K$32</f>
        <v>23453.78</v>
      </c>
      <c r="M26" s="63"/>
    </row>
    <row r="27" spans="1:13" s="3" customFormat="1" ht="7.5" customHeight="1" x14ac:dyDescent="0.3">
      <c r="A27" s="62"/>
      <c r="B27" s="9"/>
      <c r="C27" s="9"/>
      <c r="D27" s="10"/>
      <c r="E27" s="10"/>
      <c r="F27" s="10"/>
      <c r="G27" s="10"/>
      <c r="H27" s="11"/>
      <c r="I27" s="11"/>
      <c r="J27" s="11"/>
      <c r="K27" s="11"/>
      <c r="L27" s="11"/>
      <c r="M27" s="63"/>
    </row>
    <row r="28" spans="1:13" x14ac:dyDescent="0.3">
      <c r="A28" s="62"/>
      <c r="B28" s="9"/>
      <c r="C28" s="10"/>
      <c r="D28" s="30">
        <v>2.21</v>
      </c>
      <c r="E28" s="31"/>
      <c r="F28" s="32" t="s">
        <v>28</v>
      </c>
      <c r="G28" s="32"/>
      <c r="H28" s="13"/>
      <c r="I28" s="13"/>
      <c r="J28" s="13"/>
      <c r="K28" s="85">
        <f>SUM(K30)</f>
        <v>20098.78</v>
      </c>
      <c r="L28" s="12"/>
      <c r="M28" s="63"/>
    </row>
    <row r="29" spans="1:13" s="3" customFormat="1" ht="7.5" customHeight="1" x14ac:dyDescent="0.3">
      <c r="A29" s="62"/>
      <c r="B29" s="9"/>
      <c r="C29" s="10"/>
      <c r="D29" s="9"/>
      <c r="E29" s="70"/>
      <c r="F29" s="10"/>
      <c r="G29" s="10"/>
      <c r="H29" s="28"/>
      <c r="I29" s="28"/>
      <c r="J29" s="28"/>
      <c r="K29" s="123"/>
      <c r="L29" s="28"/>
      <c r="M29" s="63"/>
    </row>
    <row r="30" spans="1:13" s="3" customFormat="1" x14ac:dyDescent="0.3">
      <c r="A30" s="62"/>
      <c r="B30" s="9"/>
      <c r="C30" s="10"/>
      <c r="D30" s="9"/>
      <c r="E30" s="70"/>
      <c r="F30" s="7" t="s">
        <v>1</v>
      </c>
      <c r="G30" s="7"/>
      <c r="H30" s="8" t="s">
        <v>3</v>
      </c>
      <c r="I30" s="36">
        <f>$I$10</f>
        <v>800</v>
      </c>
      <c r="J30" s="86">
        <v>25.123474999999999</v>
      </c>
      <c r="K30" s="42">
        <f>+I30*J30</f>
        <v>20098.78</v>
      </c>
      <c r="L30" s="8"/>
      <c r="M30" s="63"/>
    </row>
    <row r="31" spans="1:13" ht="7.5" customHeight="1" x14ac:dyDescent="0.3">
      <c r="A31" s="62"/>
      <c r="B31" s="9"/>
      <c r="C31" s="9"/>
      <c r="D31" s="9"/>
      <c r="E31" s="10"/>
      <c r="F31" s="10"/>
      <c r="G31" s="10"/>
      <c r="H31" s="11"/>
      <c r="I31" s="11"/>
      <c r="J31" s="11"/>
      <c r="K31" s="11"/>
      <c r="L31" s="11"/>
      <c r="M31" s="63"/>
    </row>
    <row r="32" spans="1:13" x14ac:dyDescent="0.3">
      <c r="A32" s="62"/>
      <c r="B32" s="9"/>
      <c r="C32" s="10"/>
      <c r="D32" s="30">
        <v>2.2200000000000002</v>
      </c>
      <c r="E32" s="31"/>
      <c r="F32" s="32" t="s">
        <v>25</v>
      </c>
      <c r="G32" s="32"/>
      <c r="H32" s="13"/>
      <c r="I32" s="13"/>
      <c r="J32" s="13"/>
      <c r="K32" s="85">
        <f>SUM(K34)</f>
        <v>3355</v>
      </c>
      <c r="L32" s="13"/>
      <c r="M32" s="63"/>
    </row>
    <row r="33" spans="1:13" s="3" customFormat="1" ht="7.5" customHeight="1" x14ac:dyDescent="0.3">
      <c r="A33" s="62"/>
      <c r="B33" s="9"/>
      <c r="C33" s="10"/>
      <c r="D33" s="9"/>
      <c r="E33" s="70"/>
      <c r="F33" s="10"/>
      <c r="G33" s="10"/>
      <c r="H33" s="28"/>
      <c r="I33" s="28"/>
      <c r="J33" s="28"/>
      <c r="K33" s="123"/>
      <c r="L33" s="28"/>
      <c r="M33" s="63"/>
    </row>
    <row r="34" spans="1:13" x14ac:dyDescent="0.3">
      <c r="A34" s="62"/>
      <c r="B34" s="9"/>
      <c r="C34" s="10"/>
      <c r="D34" s="9"/>
      <c r="E34" s="70"/>
      <c r="F34" s="7" t="s">
        <v>29</v>
      </c>
      <c r="G34" s="7"/>
      <c r="H34" s="8" t="s">
        <v>19</v>
      </c>
      <c r="I34" s="89">
        <v>1</v>
      </c>
      <c r="J34" s="86">
        <v>3355</v>
      </c>
      <c r="K34" s="42">
        <f>+I34*J34</f>
        <v>3355</v>
      </c>
      <c r="L34" s="8"/>
      <c r="M34" s="63"/>
    </row>
    <row r="35" spans="1:13" ht="7.5" customHeight="1" x14ac:dyDescent="0.3">
      <c r="A35" s="53"/>
      <c r="B35" s="5"/>
      <c r="C35" s="5"/>
      <c r="D35" s="5"/>
      <c r="E35" s="5"/>
      <c r="F35" s="5"/>
      <c r="G35" s="5"/>
      <c r="H35" s="6"/>
      <c r="I35" s="6"/>
      <c r="J35" s="6"/>
      <c r="K35" s="6"/>
      <c r="L35" s="6"/>
      <c r="M35" s="72"/>
    </row>
  </sheetData>
  <mergeCells count="3">
    <mergeCell ref="B2:D2"/>
    <mergeCell ref="E2:G2"/>
    <mergeCell ref="B3:L3"/>
  </mergeCells>
  <pageMargins left="0.7" right="0.7" top="0.75" bottom="0.75" header="0.3" footer="0.3"/>
  <pageSetup paperSize="9" scale="7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K40" sqref="K40"/>
    </sheetView>
  </sheetViews>
  <sheetFormatPr baseColWidth="10" defaultRowHeight="15" x14ac:dyDescent="0.25"/>
  <cols>
    <col min="1" max="1" width="2.85546875" customWidth="1"/>
    <col min="2" max="2" width="5.85546875" bestFit="1" customWidth="1"/>
    <col min="3" max="3" width="6.42578125" bestFit="1" customWidth="1"/>
    <col min="4" max="4" width="5.85546875" bestFit="1" customWidth="1"/>
    <col min="5" max="5" width="4.5703125" customWidth="1"/>
    <col min="6" max="6" width="11.42578125" customWidth="1"/>
    <col min="7" max="7" width="50.28515625" bestFit="1" customWidth="1"/>
    <col min="9" max="9" width="13" bestFit="1" customWidth="1"/>
    <col min="10" max="10" width="17.7109375" bestFit="1" customWidth="1"/>
    <col min="11" max="12" width="19.85546875" bestFit="1" customWidth="1"/>
    <col min="13" max="13" width="2.85546875" customWidth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1"/>
    </row>
    <row r="2" spans="1:13" ht="15.75" x14ac:dyDescent="0.3">
      <c r="A2" s="62"/>
      <c r="B2" s="14"/>
      <c r="C2" s="14"/>
      <c r="D2" s="14"/>
      <c r="E2" s="15" t="s">
        <v>76</v>
      </c>
      <c r="F2" s="16"/>
      <c r="G2" s="16"/>
      <c r="H2" s="17"/>
      <c r="I2" s="17"/>
      <c r="J2" s="17"/>
      <c r="K2" s="17"/>
      <c r="L2" s="85">
        <f>$I$4*$I$5</f>
        <v>3616200</v>
      </c>
      <c r="M2" s="63"/>
    </row>
    <row r="3" spans="1:13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63"/>
    </row>
    <row r="4" spans="1:13" s="1" customFormat="1" ht="15.75" x14ac:dyDescent="0.3">
      <c r="A4" s="62"/>
      <c r="B4" s="50"/>
      <c r="C4" s="19"/>
      <c r="D4" s="19"/>
      <c r="E4" s="19" t="s">
        <v>100</v>
      </c>
      <c r="F4" s="19"/>
      <c r="G4" s="19"/>
      <c r="H4" s="59" t="s">
        <v>3</v>
      </c>
      <c r="I4" s="18">
        <f>'01 - Terreno - Datos'!$K$24</f>
        <v>12300</v>
      </c>
      <c r="J4" s="19"/>
      <c r="K4" s="19"/>
      <c r="L4" s="61"/>
      <c r="M4" s="63"/>
    </row>
    <row r="5" spans="1:13" s="1" customFormat="1" ht="15.75" x14ac:dyDescent="0.3">
      <c r="A5" s="62"/>
      <c r="B5" s="62"/>
      <c r="C5" s="10"/>
      <c r="D5" s="10"/>
      <c r="E5" s="10" t="s">
        <v>101</v>
      </c>
      <c r="F5" s="10"/>
      <c r="G5" s="10"/>
      <c r="H5" s="105" t="s">
        <v>77</v>
      </c>
      <c r="I5" s="9">
        <v>294</v>
      </c>
      <c r="J5" s="10"/>
      <c r="K5" s="10"/>
      <c r="L5" s="63"/>
      <c r="M5" s="63"/>
    </row>
    <row r="6" spans="1:13" s="1" customFormat="1" ht="15.75" x14ac:dyDescent="0.3">
      <c r="A6" s="62"/>
      <c r="B6" s="53"/>
      <c r="C6" s="5"/>
      <c r="D6" s="5"/>
      <c r="E6" s="5" t="s">
        <v>204</v>
      </c>
      <c r="F6" s="5"/>
      <c r="G6" s="5"/>
      <c r="H6" s="122" t="s">
        <v>77</v>
      </c>
      <c r="I6" s="4">
        <v>20</v>
      </c>
      <c r="J6" s="5"/>
      <c r="K6" s="5"/>
      <c r="L6" s="72"/>
      <c r="M6" s="63"/>
    </row>
    <row r="7" spans="1:13" s="1" customFormat="1" ht="7.5" customHeight="1" x14ac:dyDescent="0.3">
      <c r="A7" s="6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63"/>
    </row>
    <row r="8" spans="1:13" ht="15.75" x14ac:dyDescent="0.3">
      <c r="A8" s="62"/>
      <c r="B8" s="224" t="s">
        <v>26</v>
      </c>
      <c r="C8" s="224"/>
      <c r="D8" s="224"/>
      <c r="E8" s="221" t="s">
        <v>27</v>
      </c>
      <c r="F8" s="221"/>
      <c r="G8" s="221"/>
      <c r="H8" s="64" t="s">
        <v>4</v>
      </c>
      <c r="I8" s="64" t="s">
        <v>5</v>
      </c>
      <c r="J8" s="64" t="s">
        <v>6</v>
      </c>
      <c r="K8" s="64" t="s">
        <v>7</v>
      </c>
      <c r="L8" s="64" t="s">
        <v>8</v>
      </c>
      <c r="M8" s="63"/>
    </row>
    <row r="9" spans="1:13" ht="7.5" customHeight="1" x14ac:dyDescent="0.3">
      <c r="A9" s="62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63"/>
    </row>
    <row r="10" spans="1:13" ht="15.75" x14ac:dyDescent="0.3">
      <c r="A10" s="62"/>
      <c r="B10" s="14">
        <v>3</v>
      </c>
      <c r="C10" s="15" t="s">
        <v>63</v>
      </c>
      <c r="D10" s="14"/>
      <c r="E10" s="15"/>
      <c r="F10" s="16"/>
      <c r="G10" s="16"/>
      <c r="H10" s="17"/>
      <c r="I10" s="17"/>
      <c r="J10" s="17"/>
      <c r="K10" s="17"/>
      <c r="L10" s="17"/>
      <c r="M10" s="63"/>
    </row>
    <row r="11" spans="1:13" ht="7.5" customHeight="1" x14ac:dyDescent="0.3">
      <c r="A11" s="62"/>
      <c r="B11" s="9"/>
      <c r="C11" s="9"/>
      <c r="D11" s="9"/>
      <c r="E11" s="10"/>
      <c r="F11" s="10"/>
      <c r="G11" s="10"/>
      <c r="H11" s="11"/>
      <c r="I11" s="11"/>
      <c r="J11" s="11"/>
      <c r="K11" s="11"/>
      <c r="L11" s="11"/>
      <c r="M11" s="63"/>
    </row>
    <row r="12" spans="1:13" ht="15.75" x14ac:dyDescent="0.3">
      <c r="A12" s="62"/>
      <c r="B12" s="9"/>
      <c r="C12" s="65">
        <v>3.1</v>
      </c>
      <c r="D12" s="67" t="s">
        <v>69</v>
      </c>
      <c r="E12" s="67"/>
      <c r="F12" s="29"/>
      <c r="G12" s="29"/>
      <c r="H12" s="68"/>
      <c r="I12" s="68"/>
      <c r="J12" s="68"/>
      <c r="K12" s="68"/>
      <c r="L12" s="85">
        <f>$K$14+$K$26+$K$36</f>
        <v>294359.79000000004</v>
      </c>
      <c r="M12" s="63"/>
    </row>
    <row r="13" spans="1:13" ht="7.5" customHeight="1" x14ac:dyDescent="0.3">
      <c r="A13" s="62"/>
      <c r="B13" s="9"/>
      <c r="C13" s="9"/>
      <c r="D13" s="9"/>
      <c r="E13" s="10"/>
      <c r="F13" s="10"/>
      <c r="G13" s="10"/>
      <c r="H13" s="11"/>
      <c r="I13" s="11"/>
      <c r="J13" s="11"/>
      <c r="K13" s="11"/>
      <c r="L13" s="11"/>
      <c r="M13" s="63"/>
    </row>
    <row r="14" spans="1:13" ht="15.75" x14ac:dyDescent="0.3">
      <c r="A14" s="62"/>
      <c r="B14" s="9"/>
      <c r="C14" s="10"/>
      <c r="D14" s="30">
        <v>3.11</v>
      </c>
      <c r="E14" s="31" t="s">
        <v>70</v>
      </c>
      <c r="F14" s="32"/>
      <c r="G14" s="32"/>
      <c r="H14" s="13"/>
      <c r="I14" s="13"/>
      <c r="J14" s="13"/>
      <c r="K14" s="85">
        <f>$K$16+$K$20</f>
        <v>46095.57</v>
      </c>
      <c r="L14" s="13"/>
      <c r="M14" s="63"/>
    </row>
    <row r="15" spans="1:13" ht="7.5" customHeight="1" x14ac:dyDescent="0.3">
      <c r="A15" s="62"/>
      <c r="B15" s="9"/>
      <c r="C15" s="9"/>
      <c r="D15" s="9"/>
      <c r="E15" s="10"/>
      <c r="F15" s="77"/>
      <c r="G15" s="10"/>
      <c r="H15" s="10"/>
      <c r="I15" s="10"/>
      <c r="J15" s="10"/>
      <c r="K15" s="87"/>
      <c r="L15" s="11"/>
      <c r="M15" s="63"/>
    </row>
    <row r="16" spans="1:13" ht="15.75" x14ac:dyDescent="0.3">
      <c r="A16" s="62"/>
      <c r="B16" s="9"/>
      <c r="C16" s="9"/>
      <c r="D16" s="9"/>
      <c r="E16" s="10"/>
      <c r="F16" s="78" t="s">
        <v>78</v>
      </c>
      <c r="G16" s="7"/>
      <c r="H16" s="7"/>
      <c r="I16" s="7"/>
      <c r="J16" s="7"/>
      <c r="K16" s="79">
        <f>SUM(K17:K18)</f>
        <v>40590</v>
      </c>
      <c r="L16" s="8"/>
      <c r="M16" s="63"/>
    </row>
    <row r="17" spans="1:13" ht="15.75" x14ac:dyDescent="0.3">
      <c r="A17" s="62"/>
      <c r="B17" s="9"/>
      <c r="C17" s="9"/>
      <c r="D17" s="9"/>
      <c r="E17" s="10"/>
      <c r="F17" s="7"/>
      <c r="G17" s="5" t="s">
        <v>71</v>
      </c>
      <c r="H17" s="8" t="s">
        <v>3</v>
      </c>
      <c r="I17" s="36">
        <f>+'01 - Terreno - Datos'!$K$24</f>
        <v>12300</v>
      </c>
      <c r="J17" s="41">
        <v>3</v>
      </c>
      <c r="K17" s="42">
        <f>+I17*J17</f>
        <v>36900</v>
      </c>
      <c r="L17" s="8"/>
      <c r="M17" s="63"/>
    </row>
    <row r="18" spans="1:13" ht="15.75" x14ac:dyDescent="0.3">
      <c r="A18" s="62"/>
      <c r="B18" s="9"/>
      <c r="C18" s="9"/>
      <c r="D18" s="9"/>
      <c r="E18" s="10"/>
      <c r="F18" s="7"/>
      <c r="G18" s="7" t="s">
        <v>72</v>
      </c>
      <c r="H18" s="6" t="s">
        <v>3</v>
      </c>
      <c r="I18" s="36">
        <f>$I$17</f>
        <v>12300</v>
      </c>
      <c r="J18" s="41">
        <v>0.3</v>
      </c>
      <c r="K18" s="42">
        <f>+I18*J18</f>
        <v>3690</v>
      </c>
      <c r="L18" s="8"/>
      <c r="M18" s="63"/>
    </row>
    <row r="19" spans="1:13" ht="7.5" customHeight="1" x14ac:dyDescent="0.3">
      <c r="A19" s="62"/>
      <c r="B19" s="9"/>
      <c r="C19" s="9"/>
      <c r="D19" s="9"/>
      <c r="E19" s="10"/>
      <c r="F19" s="19"/>
      <c r="G19" s="19"/>
      <c r="H19" s="11"/>
      <c r="I19" s="55"/>
      <c r="J19" s="75"/>
      <c r="K19" s="76"/>
      <c r="L19" s="20"/>
      <c r="M19" s="63"/>
    </row>
    <row r="20" spans="1:13" ht="15.75" x14ac:dyDescent="0.3">
      <c r="A20" s="62"/>
      <c r="B20" s="9"/>
      <c r="C20" s="9"/>
      <c r="D20" s="9"/>
      <c r="E20" s="10"/>
      <c r="F20" s="74" t="s">
        <v>79</v>
      </c>
      <c r="G20" s="7"/>
      <c r="H20" s="7"/>
      <c r="I20" s="22"/>
      <c r="J20" s="7"/>
      <c r="K20" s="79">
        <f>SUM(K21:K24)</f>
        <v>5505.5699999999988</v>
      </c>
      <c r="L20" s="8"/>
      <c r="M20" s="63"/>
    </row>
    <row r="21" spans="1:13" ht="15.75" x14ac:dyDescent="0.3">
      <c r="A21" s="62"/>
      <c r="B21" s="9"/>
      <c r="C21" s="9"/>
      <c r="D21" s="9"/>
      <c r="E21" s="10"/>
      <c r="F21" s="7"/>
      <c r="G21" s="7" t="s">
        <v>98</v>
      </c>
      <c r="H21" s="20" t="s">
        <v>75</v>
      </c>
      <c r="I21" s="88">
        <v>1</v>
      </c>
      <c r="J21" s="81">
        <v>2400</v>
      </c>
      <c r="K21" s="42">
        <f>J21*I21</f>
        <v>2400</v>
      </c>
      <c r="L21" s="8"/>
      <c r="M21" s="63"/>
    </row>
    <row r="22" spans="1:13" ht="15.75" x14ac:dyDescent="0.3">
      <c r="A22" s="62"/>
      <c r="B22" s="9"/>
      <c r="C22" s="9"/>
      <c r="D22" s="9"/>
      <c r="E22" s="10"/>
      <c r="F22" s="58"/>
      <c r="G22" s="19" t="s">
        <v>73</v>
      </c>
      <c r="H22" s="20" t="s">
        <v>75</v>
      </c>
      <c r="I22" s="83">
        <v>0.06</v>
      </c>
      <c r="J22" s="81">
        <f>$L$2</f>
        <v>3616200</v>
      </c>
      <c r="K22" s="42">
        <f>($J$22*$I$22)/100</f>
        <v>2169.7199999999998</v>
      </c>
      <c r="L22" s="20"/>
      <c r="M22" s="63"/>
    </row>
    <row r="23" spans="1:13" ht="15.75" x14ac:dyDescent="0.3">
      <c r="A23" s="62"/>
      <c r="B23" s="9"/>
      <c r="C23" s="9"/>
      <c r="D23" s="9"/>
      <c r="E23" s="10"/>
      <c r="F23" s="34"/>
      <c r="G23" s="19" t="s">
        <v>74</v>
      </c>
      <c r="H23" s="20" t="s">
        <v>75</v>
      </c>
      <c r="I23" s="83">
        <v>0.02</v>
      </c>
      <c r="J23" s="82">
        <f>$L$2</f>
        <v>3616200</v>
      </c>
      <c r="K23" s="42">
        <f>($J$23*$I$23)/100</f>
        <v>723.24</v>
      </c>
      <c r="L23" s="8"/>
      <c r="M23" s="63"/>
    </row>
    <row r="24" spans="1:13" ht="15.75" x14ac:dyDescent="0.3">
      <c r="A24" s="62"/>
      <c r="B24" s="9"/>
      <c r="C24" s="9"/>
      <c r="D24" s="9"/>
      <c r="E24" s="10"/>
      <c r="F24" s="80"/>
      <c r="G24" s="7" t="s">
        <v>97</v>
      </c>
      <c r="H24" s="8" t="s">
        <v>75</v>
      </c>
      <c r="I24" s="88">
        <v>1</v>
      </c>
      <c r="J24" s="42">
        <v>212.61</v>
      </c>
      <c r="K24" s="42">
        <f>J24*I24</f>
        <v>212.61</v>
      </c>
      <c r="L24" s="8"/>
      <c r="M24" s="63"/>
    </row>
    <row r="25" spans="1:13" ht="7.5" customHeight="1" x14ac:dyDescent="0.3">
      <c r="A25" s="62"/>
      <c r="B25" s="9"/>
      <c r="C25" s="9"/>
      <c r="D25" s="9"/>
      <c r="E25" s="10"/>
      <c r="F25" s="10"/>
      <c r="G25" s="10"/>
      <c r="H25" s="11"/>
      <c r="I25" s="11"/>
      <c r="J25" s="11"/>
      <c r="K25" s="11"/>
      <c r="L25" s="11"/>
      <c r="M25" s="63"/>
    </row>
    <row r="26" spans="1:13" ht="15.75" x14ac:dyDescent="0.3">
      <c r="A26" s="62"/>
      <c r="B26" s="9"/>
      <c r="C26" s="10"/>
      <c r="D26" s="30">
        <v>3.2</v>
      </c>
      <c r="E26" s="31" t="s">
        <v>80</v>
      </c>
      <c r="F26" s="32"/>
      <c r="G26" s="32"/>
      <c r="H26" s="13"/>
      <c r="I26" s="13"/>
      <c r="J26" s="13"/>
      <c r="K26" s="85">
        <f>$K$28+$K$32</f>
        <v>8707.2999999999993</v>
      </c>
      <c r="L26" s="13"/>
      <c r="M26" s="63"/>
    </row>
    <row r="27" spans="1:13" ht="7.5" customHeight="1" x14ac:dyDescent="0.3">
      <c r="A27" s="62"/>
      <c r="B27" s="9"/>
      <c r="C27" s="9"/>
      <c r="D27" s="9"/>
      <c r="E27" s="10"/>
      <c r="F27" s="77"/>
      <c r="G27" s="10"/>
      <c r="H27" s="10"/>
      <c r="I27" s="10"/>
      <c r="J27" s="10"/>
      <c r="K27" s="87"/>
      <c r="L27" s="11"/>
      <c r="M27" s="63"/>
    </row>
    <row r="28" spans="1:13" ht="15.75" x14ac:dyDescent="0.3">
      <c r="A28" s="62"/>
      <c r="B28" s="9"/>
      <c r="C28" s="9"/>
      <c r="D28" s="9"/>
      <c r="E28" s="10"/>
      <c r="F28" s="78"/>
      <c r="G28" s="7"/>
      <c r="H28" s="7"/>
      <c r="I28" s="7"/>
      <c r="J28" s="7"/>
      <c r="K28" s="79">
        <f>SUM(K29:K30)</f>
        <v>2500</v>
      </c>
      <c r="L28" s="8"/>
      <c r="M28" s="63"/>
    </row>
    <row r="29" spans="1:13" ht="15.75" x14ac:dyDescent="0.3">
      <c r="A29" s="62"/>
      <c r="B29" s="9"/>
      <c r="C29" s="9"/>
      <c r="D29" s="9"/>
      <c r="E29" s="10"/>
      <c r="F29" s="5" t="s">
        <v>81</v>
      </c>
      <c r="G29" s="5"/>
      <c r="H29" s="8" t="s">
        <v>18</v>
      </c>
      <c r="I29" s="36">
        <v>1</v>
      </c>
      <c r="J29" s="41">
        <v>2000</v>
      </c>
      <c r="K29" s="42">
        <f>+I29*J29</f>
        <v>2000</v>
      </c>
      <c r="L29" s="8"/>
      <c r="M29" s="63"/>
    </row>
    <row r="30" spans="1:13" ht="15.75" x14ac:dyDescent="0.3">
      <c r="A30" s="62"/>
      <c r="B30" s="9"/>
      <c r="C30" s="9"/>
      <c r="D30" s="9"/>
      <c r="E30" s="10"/>
      <c r="F30" s="5" t="s">
        <v>82</v>
      </c>
      <c r="G30" s="5"/>
      <c r="H30" s="6" t="s">
        <v>18</v>
      </c>
      <c r="I30" s="36">
        <v>1</v>
      </c>
      <c r="J30" s="41">
        <v>500</v>
      </c>
      <c r="K30" s="42">
        <f>+I30*J30</f>
        <v>500</v>
      </c>
      <c r="L30" s="8"/>
      <c r="M30" s="63"/>
    </row>
    <row r="31" spans="1:13" ht="7.5" customHeight="1" x14ac:dyDescent="0.3">
      <c r="A31" s="62"/>
      <c r="B31" s="9"/>
      <c r="C31" s="9"/>
      <c r="D31" s="9"/>
      <c r="E31" s="10"/>
      <c r="F31" s="19"/>
      <c r="G31" s="19"/>
      <c r="H31" s="11"/>
      <c r="I31" s="55"/>
      <c r="J31" s="75"/>
      <c r="K31" s="76"/>
      <c r="L31" s="20"/>
      <c r="M31" s="63"/>
    </row>
    <row r="32" spans="1:13" ht="15.75" x14ac:dyDescent="0.3">
      <c r="A32" s="62"/>
      <c r="B32" s="9"/>
      <c r="C32" s="9"/>
      <c r="D32" s="9"/>
      <c r="E32" s="10"/>
      <c r="F32" s="7"/>
      <c r="G32" s="7"/>
      <c r="H32" s="7"/>
      <c r="I32" s="22"/>
      <c r="J32" s="7"/>
      <c r="K32" s="79">
        <f>SUM(K33:K34)</f>
        <v>6207.2999999999993</v>
      </c>
      <c r="L32" s="8"/>
      <c r="M32" s="63"/>
    </row>
    <row r="33" spans="1:15" ht="15.75" x14ac:dyDescent="0.3">
      <c r="A33" s="62"/>
      <c r="B33" s="9"/>
      <c r="C33" s="9"/>
      <c r="D33" s="9"/>
      <c r="E33" s="10"/>
      <c r="F33" s="7" t="s">
        <v>83</v>
      </c>
      <c r="G33" s="7"/>
      <c r="H33" s="6" t="s">
        <v>18</v>
      </c>
      <c r="I33" s="83">
        <v>1</v>
      </c>
      <c r="J33" s="41">
        <v>3361.6</v>
      </c>
      <c r="K33" s="42">
        <f>$J$33*$I$33</f>
        <v>3361.6</v>
      </c>
      <c r="L33" s="8"/>
      <c r="M33" s="63"/>
    </row>
    <row r="34" spans="1:15" ht="15.75" x14ac:dyDescent="0.3">
      <c r="A34" s="62"/>
      <c r="B34" s="9"/>
      <c r="C34" s="9"/>
      <c r="D34" s="9"/>
      <c r="E34" s="10"/>
      <c r="F34" s="19" t="s">
        <v>84</v>
      </c>
      <c r="G34" s="19"/>
      <c r="H34" s="6" t="s">
        <v>18</v>
      </c>
      <c r="I34" s="83">
        <v>1</v>
      </c>
      <c r="J34" s="41">
        <v>2845.7</v>
      </c>
      <c r="K34" s="42">
        <f>$J$34*$I$34</f>
        <v>2845.7</v>
      </c>
      <c r="L34" s="20"/>
      <c r="M34" s="63"/>
    </row>
    <row r="35" spans="1:15" ht="7.5" customHeight="1" x14ac:dyDescent="0.3">
      <c r="A35" s="62"/>
      <c r="B35" s="9"/>
      <c r="C35" s="9"/>
      <c r="D35" s="9"/>
      <c r="E35" s="10"/>
      <c r="F35" s="34"/>
      <c r="G35" s="19"/>
      <c r="H35" s="20"/>
      <c r="I35" s="73"/>
      <c r="J35" s="60"/>
      <c r="K35" s="42"/>
      <c r="L35" s="121"/>
      <c r="M35" s="63"/>
    </row>
    <row r="36" spans="1:15" ht="15.75" x14ac:dyDescent="0.3">
      <c r="A36" s="62"/>
      <c r="B36" s="10"/>
      <c r="C36" s="10"/>
      <c r="D36" s="30">
        <v>3.3</v>
      </c>
      <c r="E36" s="31" t="s">
        <v>85</v>
      </c>
      <c r="F36" s="32"/>
      <c r="G36" s="32"/>
      <c r="H36" s="13"/>
      <c r="I36" s="13"/>
      <c r="J36" s="13"/>
      <c r="K36" s="85">
        <f>$K$38+$K$50</f>
        <v>239556.92</v>
      </c>
      <c r="L36" s="12" t="s">
        <v>32</v>
      </c>
      <c r="M36" s="63"/>
    </row>
    <row r="37" spans="1:15" ht="7.5" customHeight="1" x14ac:dyDescent="0.3">
      <c r="A37" s="62"/>
      <c r="B37" s="10"/>
      <c r="C37" s="10"/>
      <c r="D37" s="9"/>
      <c r="E37" s="10"/>
      <c r="F37" s="77"/>
      <c r="G37" s="10"/>
      <c r="H37" s="10"/>
      <c r="I37" s="10"/>
      <c r="J37" s="10"/>
      <c r="K37" s="87"/>
      <c r="L37" s="11"/>
      <c r="M37" s="63"/>
    </row>
    <row r="38" spans="1:15" ht="15.75" x14ac:dyDescent="0.3">
      <c r="A38" s="62"/>
      <c r="B38" s="10"/>
      <c r="C38" s="10"/>
      <c r="D38" s="9"/>
      <c r="E38" s="10"/>
      <c r="F38" s="78" t="s">
        <v>78</v>
      </c>
      <c r="G38" s="7"/>
      <c r="H38" s="7"/>
      <c r="I38" s="7"/>
      <c r="J38" s="7"/>
      <c r="K38" s="79">
        <f>SUM(K39:K48)</f>
        <v>233421</v>
      </c>
      <c r="L38" s="8"/>
      <c r="M38" s="63"/>
    </row>
    <row r="39" spans="1:15" ht="15.75" x14ac:dyDescent="0.3">
      <c r="A39" s="62"/>
      <c r="B39" s="10"/>
      <c r="C39" s="10"/>
      <c r="D39" s="9"/>
      <c r="E39" s="10"/>
      <c r="F39" s="5"/>
      <c r="G39" s="5" t="s">
        <v>86</v>
      </c>
      <c r="H39" s="6" t="s">
        <v>3</v>
      </c>
      <c r="I39" s="36">
        <f>'01 - Terreno - Datos'!$I$37</f>
        <v>12300</v>
      </c>
      <c r="J39" s="86">
        <f t="shared" ref="J39:J46" si="0">$I$6*$L39</f>
        <v>10</v>
      </c>
      <c r="K39" s="84">
        <f>$J$39*$I$39</f>
        <v>123000</v>
      </c>
      <c r="L39" s="158">
        <v>0.5</v>
      </c>
      <c r="M39" s="63"/>
      <c r="O39" s="144"/>
    </row>
    <row r="40" spans="1:15" ht="15.75" x14ac:dyDescent="0.3">
      <c r="A40" s="62"/>
      <c r="B40" s="10"/>
      <c r="C40" s="10"/>
      <c r="D40" s="9"/>
      <c r="E40" s="10"/>
      <c r="F40" s="5"/>
      <c r="G40" s="5" t="s">
        <v>87</v>
      </c>
      <c r="H40" s="6" t="s">
        <v>3</v>
      </c>
      <c r="I40" s="36">
        <f>'01 - Terreno - Datos'!$I$37</f>
        <v>12300</v>
      </c>
      <c r="J40" s="86">
        <f t="shared" si="0"/>
        <v>0.2</v>
      </c>
      <c r="K40" s="84">
        <f>$J$40*$I$40</f>
        <v>2460</v>
      </c>
      <c r="L40" s="159">
        <v>0.01</v>
      </c>
      <c r="M40" s="63"/>
      <c r="O40" s="145"/>
    </row>
    <row r="41" spans="1:15" ht="15.75" x14ac:dyDescent="0.3">
      <c r="A41" s="62"/>
      <c r="B41" s="10"/>
      <c r="C41" s="10"/>
      <c r="D41" s="9"/>
      <c r="E41" s="10"/>
      <c r="F41" s="5"/>
      <c r="G41" s="5" t="s">
        <v>88</v>
      </c>
      <c r="H41" s="6" t="s">
        <v>3</v>
      </c>
      <c r="I41" s="36">
        <f>'01 - Terreno - Datos'!$I$37</f>
        <v>12300</v>
      </c>
      <c r="J41" s="86">
        <f t="shared" si="0"/>
        <v>5</v>
      </c>
      <c r="K41" s="84">
        <f>$J$41*$I$41</f>
        <v>61500</v>
      </c>
      <c r="L41" s="159">
        <v>0.25</v>
      </c>
      <c r="M41" s="63"/>
      <c r="O41" s="145"/>
    </row>
    <row r="42" spans="1:15" ht="15.75" x14ac:dyDescent="0.3">
      <c r="A42" s="62"/>
      <c r="B42" s="10"/>
      <c r="C42" s="10"/>
      <c r="D42" s="9"/>
      <c r="E42" s="10"/>
      <c r="F42" s="5"/>
      <c r="G42" s="5" t="s">
        <v>89</v>
      </c>
      <c r="H42" s="6" t="s">
        <v>3</v>
      </c>
      <c r="I42" s="36">
        <f>'01 - Terreno - Datos'!$I$37</f>
        <v>12300</v>
      </c>
      <c r="J42" s="86">
        <f t="shared" si="0"/>
        <v>1</v>
      </c>
      <c r="K42" s="84">
        <f>$J$42*$I$42</f>
        <v>12300</v>
      </c>
      <c r="L42" s="159">
        <v>0.05</v>
      </c>
      <c r="M42" s="63"/>
      <c r="O42" s="145"/>
    </row>
    <row r="43" spans="1:15" ht="15.75" x14ac:dyDescent="0.3">
      <c r="A43" s="62"/>
      <c r="B43" s="10"/>
      <c r="C43" s="10"/>
      <c r="D43" s="9"/>
      <c r="E43" s="10"/>
      <c r="F43" s="5"/>
      <c r="G43" s="5" t="s">
        <v>90</v>
      </c>
      <c r="H43" s="6" t="s">
        <v>3</v>
      </c>
      <c r="I43" s="36">
        <f>'01 - Terreno - Datos'!$I$37</f>
        <v>12300</v>
      </c>
      <c r="J43" s="86">
        <f t="shared" si="0"/>
        <v>1</v>
      </c>
      <c r="K43" s="84">
        <f>$J$43*$I$43</f>
        <v>12300</v>
      </c>
      <c r="L43" s="159">
        <v>0.05</v>
      </c>
      <c r="M43" s="63"/>
      <c r="O43" s="145"/>
    </row>
    <row r="44" spans="1:15" ht="15.75" x14ac:dyDescent="0.3">
      <c r="A44" s="62"/>
      <c r="B44" s="10"/>
      <c r="C44" s="10"/>
      <c r="D44" s="9"/>
      <c r="E44" s="10"/>
      <c r="F44" s="5"/>
      <c r="G44" s="5" t="s">
        <v>95</v>
      </c>
      <c r="H44" s="6" t="s">
        <v>3</v>
      </c>
      <c r="I44" s="36">
        <f>'01 - Terreno - Datos'!$I$37</f>
        <v>12300</v>
      </c>
      <c r="J44" s="86">
        <f t="shared" si="0"/>
        <v>0.4</v>
      </c>
      <c r="K44" s="84">
        <f>$J44*I44</f>
        <v>4920</v>
      </c>
      <c r="L44" s="159">
        <v>0.02</v>
      </c>
      <c r="M44" s="63"/>
      <c r="O44" s="145"/>
    </row>
    <row r="45" spans="1:15" ht="15.75" x14ac:dyDescent="0.3">
      <c r="A45" s="62"/>
      <c r="B45" s="10"/>
      <c r="C45" s="10"/>
      <c r="D45" s="9"/>
      <c r="E45" s="10"/>
      <c r="F45" s="5"/>
      <c r="G45" s="5" t="s">
        <v>91</v>
      </c>
      <c r="H45" s="6" t="s">
        <v>3</v>
      </c>
      <c r="I45" s="36">
        <f>'01 - Terreno - Datos'!$I$29</f>
        <v>4000</v>
      </c>
      <c r="J45" s="86">
        <f t="shared" si="0"/>
        <v>2</v>
      </c>
      <c r="K45" s="84">
        <f>$J$45*$I$45</f>
        <v>8000</v>
      </c>
      <c r="L45" s="159">
        <v>0.1</v>
      </c>
      <c r="M45" s="63"/>
      <c r="O45" s="145"/>
    </row>
    <row r="46" spans="1:15" ht="15.75" x14ac:dyDescent="0.3">
      <c r="A46" s="62"/>
      <c r="B46" s="10"/>
      <c r="C46" s="10"/>
      <c r="D46" s="9"/>
      <c r="E46" s="10"/>
      <c r="F46" s="5"/>
      <c r="G46" s="5" t="s">
        <v>92</v>
      </c>
      <c r="H46" s="6" t="s">
        <v>94</v>
      </c>
      <c r="I46" s="36">
        <v>12300</v>
      </c>
      <c r="J46" s="86">
        <f t="shared" si="0"/>
        <v>0.4</v>
      </c>
      <c r="K46" s="84">
        <f>$J$46*$I$46</f>
        <v>4920</v>
      </c>
      <c r="L46" s="159">
        <v>0.02</v>
      </c>
      <c r="M46" s="63"/>
      <c r="N46" s="146"/>
      <c r="O46" s="145"/>
    </row>
    <row r="47" spans="1:15" ht="15.75" x14ac:dyDescent="0.3">
      <c r="A47" s="62"/>
      <c r="B47" s="10"/>
      <c r="C47" s="10"/>
      <c r="D47" s="9"/>
      <c r="E47" s="10"/>
      <c r="F47" s="5"/>
      <c r="G47" s="5" t="s">
        <v>96</v>
      </c>
      <c r="H47" s="6" t="s">
        <v>19</v>
      </c>
      <c r="I47" s="36">
        <v>1</v>
      </c>
      <c r="J47" s="86">
        <v>2815</v>
      </c>
      <c r="K47" s="84">
        <f>$J$47*$I$47</f>
        <v>2815</v>
      </c>
      <c r="L47" s="8"/>
      <c r="M47" s="63"/>
      <c r="O47" s="147">
        <f>SUM(L39:L46)</f>
        <v>1</v>
      </c>
    </row>
    <row r="48" spans="1:15" ht="15.75" x14ac:dyDescent="0.3">
      <c r="A48" s="62"/>
      <c r="B48" s="10"/>
      <c r="C48" s="10"/>
      <c r="D48" s="9"/>
      <c r="E48" s="10"/>
      <c r="F48" s="5"/>
      <c r="G48" s="5" t="s">
        <v>93</v>
      </c>
      <c r="H48" s="8" t="s">
        <v>19</v>
      </c>
      <c r="I48" s="36">
        <v>1</v>
      </c>
      <c r="J48" s="86">
        <v>1206</v>
      </c>
      <c r="K48" s="84">
        <f>$J$48*$I$48</f>
        <v>1206</v>
      </c>
      <c r="L48" s="8"/>
      <c r="M48" s="63"/>
    </row>
    <row r="49" spans="1:13" ht="7.5" customHeight="1" x14ac:dyDescent="0.3">
      <c r="A49" s="62"/>
      <c r="B49" s="10"/>
      <c r="C49" s="10"/>
      <c r="D49" s="9"/>
      <c r="E49" s="10"/>
      <c r="F49" s="19"/>
      <c r="G49" s="19"/>
      <c r="H49" s="11"/>
      <c r="I49" s="55"/>
      <c r="J49" s="75"/>
      <c r="K49" s="76"/>
      <c r="L49" s="20"/>
      <c r="M49" s="63"/>
    </row>
    <row r="50" spans="1:13" ht="15.75" x14ac:dyDescent="0.3">
      <c r="A50" s="62"/>
      <c r="B50" s="10"/>
      <c r="C50" s="10"/>
      <c r="D50" s="9"/>
      <c r="E50" s="10"/>
      <c r="F50" s="74" t="s">
        <v>79</v>
      </c>
      <c r="G50" s="7"/>
      <c r="H50" s="7"/>
      <c r="I50" s="7"/>
      <c r="J50" s="7"/>
      <c r="K50" s="79">
        <f>SUM(K51:K54)</f>
        <v>6135.92</v>
      </c>
      <c r="L50" s="8"/>
      <c r="M50" s="63"/>
    </row>
    <row r="51" spans="1:13" ht="15.75" x14ac:dyDescent="0.3">
      <c r="A51" s="62"/>
      <c r="B51" s="10"/>
      <c r="C51" s="10"/>
      <c r="D51" s="9"/>
      <c r="E51" s="10"/>
      <c r="F51" s="7"/>
      <c r="G51" s="19" t="s">
        <v>73</v>
      </c>
      <c r="H51" s="20" t="s">
        <v>75</v>
      </c>
      <c r="I51" s="83">
        <v>0.06</v>
      </c>
      <c r="J51" s="41">
        <f>$L$2</f>
        <v>3616200</v>
      </c>
      <c r="K51" s="42">
        <f>($J$51*$I$51)/100</f>
        <v>2169.7199999999998</v>
      </c>
      <c r="L51" s="8"/>
      <c r="M51" s="63"/>
    </row>
    <row r="52" spans="1:13" ht="15.75" x14ac:dyDescent="0.3">
      <c r="A52" s="62"/>
      <c r="B52" s="10"/>
      <c r="C52" s="10"/>
      <c r="D52" s="9"/>
      <c r="E52" s="10"/>
      <c r="F52" s="19"/>
      <c r="G52" s="19" t="s">
        <v>74</v>
      </c>
      <c r="H52" s="20" t="s">
        <v>75</v>
      </c>
      <c r="I52" s="83">
        <v>0.02</v>
      </c>
      <c r="J52" s="41">
        <f>$L$2</f>
        <v>3616200</v>
      </c>
      <c r="K52" s="42">
        <f>($J$52*$I$52)/100</f>
        <v>723.24</v>
      </c>
      <c r="L52" s="20"/>
      <c r="M52" s="63"/>
    </row>
    <row r="53" spans="1:13" ht="15.75" x14ac:dyDescent="0.3">
      <c r="A53" s="62"/>
      <c r="B53" s="10"/>
      <c r="C53" s="10"/>
      <c r="D53" s="9"/>
      <c r="E53" s="10"/>
      <c r="F53" s="7"/>
      <c r="G53" s="19" t="s">
        <v>99</v>
      </c>
      <c r="H53" s="20" t="s">
        <v>75</v>
      </c>
      <c r="I53" s="83">
        <v>0.08</v>
      </c>
      <c r="J53" s="41">
        <f>$L$2</f>
        <v>3616200</v>
      </c>
      <c r="K53" s="42">
        <f>($J$53*$I$53)/100</f>
        <v>2892.96</v>
      </c>
      <c r="L53" s="8"/>
      <c r="M53" s="63"/>
    </row>
    <row r="54" spans="1:13" ht="15.75" x14ac:dyDescent="0.3">
      <c r="A54" s="62"/>
      <c r="B54" s="10"/>
      <c r="C54" s="10"/>
      <c r="D54" s="10"/>
      <c r="E54" s="10"/>
      <c r="F54" s="7"/>
      <c r="G54" s="7" t="s">
        <v>97</v>
      </c>
      <c r="H54" s="8" t="s">
        <v>75</v>
      </c>
      <c r="I54" s="88">
        <v>1</v>
      </c>
      <c r="J54" s="41">
        <v>350</v>
      </c>
      <c r="K54" s="42">
        <f>$J$54*$I$54</f>
        <v>350</v>
      </c>
      <c r="L54" s="8"/>
      <c r="M54" s="63"/>
    </row>
    <row r="55" spans="1:13" ht="15.75" x14ac:dyDescent="0.3">
      <c r="A55" s="53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72"/>
    </row>
    <row r="57" spans="1:13" x14ac:dyDescent="0.25">
      <c r="J57" s="126"/>
    </row>
    <row r="58" spans="1:13" x14ac:dyDescent="0.25">
      <c r="J58" s="126"/>
    </row>
  </sheetData>
  <mergeCells count="3">
    <mergeCell ref="B8:D8"/>
    <mergeCell ref="E8:G8"/>
    <mergeCell ref="B9:L9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K25" sqref="K25"/>
    </sheetView>
  </sheetViews>
  <sheetFormatPr baseColWidth="10" defaultRowHeight="15" x14ac:dyDescent="0.25"/>
  <cols>
    <col min="1" max="1" width="2.85546875" customWidth="1"/>
    <col min="2" max="2" width="5.85546875" bestFit="1" customWidth="1"/>
    <col min="3" max="3" width="6.42578125" bestFit="1" customWidth="1"/>
    <col min="4" max="4" width="5.85546875" bestFit="1" customWidth="1"/>
    <col min="5" max="5" width="4.5703125" customWidth="1"/>
    <col min="6" max="6" width="11.42578125" customWidth="1"/>
    <col min="7" max="7" width="50.28515625" bestFit="1" customWidth="1"/>
    <col min="9" max="9" width="13" bestFit="1" customWidth="1"/>
    <col min="10" max="10" width="17.7109375" bestFit="1" customWidth="1"/>
    <col min="11" max="12" width="19.85546875" bestFit="1" customWidth="1"/>
    <col min="13" max="13" width="2.85546875" customWidth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1"/>
    </row>
    <row r="2" spans="1:13" ht="15.75" x14ac:dyDescent="0.3">
      <c r="A2" s="62"/>
      <c r="B2" s="14"/>
      <c r="C2" s="14"/>
      <c r="D2" s="14"/>
      <c r="E2" s="15" t="s">
        <v>76</v>
      </c>
      <c r="F2" s="16"/>
      <c r="G2" s="16"/>
      <c r="H2" s="17"/>
      <c r="I2" s="17"/>
      <c r="J2" s="17"/>
      <c r="K2" s="17"/>
      <c r="L2" s="85">
        <f>$I$4*$I$5</f>
        <v>3616200</v>
      </c>
      <c r="M2" s="63"/>
    </row>
    <row r="3" spans="1:13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63"/>
    </row>
    <row r="4" spans="1:13" s="1" customFormat="1" ht="15.75" x14ac:dyDescent="0.3">
      <c r="A4" s="62"/>
      <c r="B4" s="50"/>
      <c r="C4" s="19"/>
      <c r="D4" s="19"/>
      <c r="E4" s="19" t="s">
        <v>100</v>
      </c>
      <c r="F4" s="19"/>
      <c r="G4" s="19"/>
      <c r="H4" s="59" t="s">
        <v>3</v>
      </c>
      <c r="I4" s="18">
        <f>'01 - Terreno - Datos'!$K$24</f>
        <v>12300</v>
      </c>
      <c r="J4" s="19"/>
      <c r="K4" s="19"/>
      <c r="L4" s="61"/>
      <c r="M4" s="63"/>
    </row>
    <row r="5" spans="1:13" s="1" customFormat="1" ht="15.75" x14ac:dyDescent="0.3">
      <c r="A5" s="62"/>
      <c r="B5" s="62"/>
      <c r="C5" s="10"/>
      <c r="D5" s="10"/>
      <c r="E5" s="10" t="s">
        <v>101</v>
      </c>
      <c r="F5" s="10"/>
      <c r="G5" s="10"/>
      <c r="H5" s="93" t="s">
        <v>77</v>
      </c>
      <c r="I5" s="9">
        <f>'03 - Proyecto'!$I$5</f>
        <v>294</v>
      </c>
      <c r="J5" s="10"/>
      <c r="K5" s="10"/>
      <c r="L5" s="63"/>
      <c r="M5" s="63"/>
    </row>
    <row r="6" spans="1:13" s="1" customFormat="1" ht="15.75" x14ac:dyDescent="0.3">
      <c r="A6" s="62"/>
      <c r="B6" s="53"/>
      <c r="C6" s="5"/>
      <c r="D6" s="5"/>
      <c r="E6" s="5" t="s">
        <v>102</v>
      </c>
      <c r="F6" s="5"/>
      <c r="G6" s="5"/>
      <c r="H6" s="92"/>
      <c r="I6" s="4">
        <v>25</v>
      </c>
      <c r="J6" s="5"/>
      <c r="K6" s="5"/>
      <c r="L6" s="72"/>
      <c r="M6" s="63"/>
    </row>
    <row r="7" spans="1:13" s="1" customFormat="1" ht="7.5" customHeight="1" x14ac:dyDescent="0.3">
      <c r="A7" s="62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63"/>
    </row>
    <row r="8" spans="1:13" ht="15.75" x14ac:dyDescent="0.3">
      <c r="A8" s="62"/>
      <c r="B8" s="224" t="s">
        <v>26</v>
      </c>
      <c r="C8" s="224"/>
      <c r="D8" s="224"/>
      <c r="E8" s="221" t="s">
        <v>27</v>
      </c>
      <c r="F8" s="221"/>
      <c r="G8" s="221"/>
      <c r="H8" s="64" t="s">
        <v>4</v>
      </c>
      <c r="I8" s="64" t="s">
        <v>5</v>
      </c>
      <c r="J8" s="64" t="s">
        <v>6</v>
      </c>
      <c r="K8" s="64" t="s">
        <v>7</v>
      </c>
      <c r="L8" s="64" t="s">
        <v>8</v>
      </c>
      <c r="M8" s="63"/>
    </row>
    <row r="9" spans="1:13" ht="7.5" customHeight="1" x14ac:dyDescent="0.3">
      <c r="A9" s="62"/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63"/>
    </row>
    <row r="10" spans="1:13" ht="15.75" x14ac:dyDescent="0.3">
      <c r="A10" s="62"/>
      <c r="B10" s="14">
        <v>4</v>
      </c>
      <c r="C10" s="15" t="s">
        <v>103</v>
      </c>
      <c r="D10" s="14"/>
      <c r="E10" s="15"/>
      <c r="F10" s="16"/>
      <c r="G10" s="16"/>
      <c r="H10" s="17"/>
      <c r="I10" s="17"/>
      <c r="J10" s="17"/>
      <c r="K10" s="17"/>
      <c r="L10" s="17"/>
      <c r="M10" s="63"/>
    </row>
    <row r="11" spans="1:13" ht="6.75" customHeight="1" x14ac:dyDescent="0.3">
      <c r="A11" s="62"/>
      <c r="B11" s="9"/>
      <c r="C11" s="9"/>
      <c r="D11" s="9"/>
      <c r="E11" s="10"/>
      <c r="F11" s="10"/>
      <c r="G11" s="10"/>
      <c r="H11" s="11"/>
      <c r="I11" s="11"/>
      <c r="J11" s="11"/>
      <c r="K11" s="11"/>
      <c r="L11" s="11"/>
      <c r="M11" s="63"/>
    </row>
    <row r="12" spans="1:13" ht="15.75" x14ac:dyDescent="0.3">
      <c r="A12" s="62"/>
      <c r="B12" s="9"/>
      <c r="C12" s="65">
        <v>4.0999999999999996</v>
      </c>
      <c r="D12" s="67" t="s">
        <v>104</v>
      </c>
      <c r="E12" s="67"/>
      <c r="F12" s="29"/>
      <c r="G12" s="29"/>
      <c r="H12" s="68"/>
      <c r="I12" s="68"/>
      <c r="J12" s="68"/>
      <c r="K12" s="68"/>
      <c r="L12" s="85">
        <f>$K$14+$K$20+$K$25</f>
        <v>69425.399999999994</v>
      </c>
      <c r="M12" s="63"/>
    </row>
    <row r="13" spans="1:13" ht="7.5" customHeight="1" x14ac:dyDescent="0.3">
      <c r="A13" s="62"/>
      <c r="B13" s="9"/>
      <c r="C13" s="9"/>
      <c r="D13" s="9"/>
      <c r="E13" s="10"/>
      <c r="F13" s="10"/>
      <c r="G13" s="10"/>
      <c r="H13" s="11"/>
      <c r="I13" s="11"/>
      <c r="J13" s="11"/>
      <c r="K13" s="11"/>
      <c r="L13" s="11"/>
      <c r="M13" s="63"/>
    </row>
    <row r="14" spans="1:13" ht="15.75" x14ac:dyDescent="0.3">
      <c r="A14" s="62"/>
      <c r="B14" s="9"/>
      <c r="C14" s="10"/>
      <c r="D14" s="30">
        <v>4.1100000000000003</v>
      </c>
      <c r="E14" s="31" t="s">
        <v>105</v>
      </c>
      <c r="F14" s="32"/>
      <c r="G14" s="32"/>
      <c r="H14" s="13"/>
      <c r="I14" s="13"/>
      <c r="J14" s="13"/>
      <c r="K14" s="85">
        <f>SUM(K16:K18)</f>
        <v>61475.399999999994</v>
      </c>
      <c r="L14" s="13"/>
      <c r="M14" s="63"/>
    </row>
    <row r="15" spans="1:13" ht="7.5" customHeight="1" x14ac:dyDescent="0.3">
      <c r="A15" s="62"/>
      <c r="B15" s="9"/>
      <c r="C15" s="9"/>
      <c r="D15" s="9"/>
      <c r="E15" s="10"/>
      <c r="F15" s="77"/>
      <c r="G15" s="10"/>
      <c r="H15" s="10"/>
      <c r="I15" s="10"/>
      <c r="J15" s="10"/>
      <c r="K15" s="87"/>
      <c r="L15" s="11"/>
      <c r="M15" s="63"/>
    </row>
    <row r="16" spans="1:13" ht="15.75" x14ac:dyDescent="0.3">
      <c r="A16" s="62"/>
      <c r="B16" s="9"/>
      <c r="C16" s="9"/>
      <c r="D16" s="9"/>
      <c r="E16" s="10"/>
      <c r="F16" s="94" t="s">
        <v>106</v>
      </c>
      <c r="G16" s="7"/>
      <c r="H16" s="20" t="s">
        <v>75</v>
      </c>
      <c r="I16" s="7">
        <v>0.5</v>
      </c>
      <c r="J16" s="95">
        <f>$L$2</f>
        <v>3616200</v>
      </c>
      <c r="K16" s="84">
        <f>($J$16*$I$16)/100</f>
        <v>18081</v>
      </c>
      <c r="L16" s="8"/>
      <c r="M16" s="63"/>
    </row>
    <row r="17" spans="1:13" ht="15.75" x14ac:dyDescent="0.3">
      <c r="A17" s="62"/>
      <c r="B17" s="9"/>
      <c r="C17" s="9"/>
      <c r="D17" s="9"/>
      <c r="E17" s="10"/>
      <c r="F17" s="7" t="s">
        <v>107</v>
      </c>
      <c r="G17" s="5"/>
      <c r="H17" s="20" t="s">
        <v>75</v>
      </c>
      <c r="I17" s="36">
        <v>0.6</v>
      </c>
      <c r="J17" s="95">
        <f>$L$2</f>
        <v>3616200</v>
      </c>
      <c r="K17" s="42">
        <f>($I$17*$J$17)/100</f>
        <v>21697.200000000001</v>
      </c>
      <c r="L17" s="8"/>
      <c r="M17" s="63"/>
    </row>
    <row r="18" spans="1:13" ht="15.75" x14ac:dyDescent="0.3">
      <c r="A18" s="62"/>
      <c r="B18" s="9"/>
      <c r="C18" s="9"/>
      <c r="D18" s="9"/>
      <c r="E18" s="10"/>
      <c r="F18" s="7" t="s">
        <v>108</v>
      </c>
      <c r="G18" s="7"/>
      <c r="H18" s="8" t="s">
        <v>75</v>
      </c>
      <c r="I18" s="36">
        <v>0.6</v>
      </c>
      <c r="J18" s="95">
        <f>$L$2</f>
        <v>3616200</v>
      </c>
      <c r="K18" s="42">
        <f>($I$18*$J$18)/100</f>
        <v>21697.200000000001</v>
      </c>
      <c r="L18" s="8"/>
      <c r="M18" s="63"/>
    </row>
    <row r="19" spans="1:13" ht="7.5" customHeight="1" x14ac:dyDescent="0.3">
      <c r="A19" s="62"/>
      <c r="B19" s="9"/>
      <c r="C19" s="9"/>
      <c r="D19" s="9"/>
      <c r="E19" s="10"/>
      <c r="F19" s="19"/>
      <c r="G19" s="19"/>
      <c r="H19" s="11"/>
      <c r="I19" s="55"/>
      <c r="J19" s="75"/>
      <c r="K19" s="76"/>
      <c r="L19" s="20"/>
      <c r="M19" s="63"/>
    </row>
    <row r="20" spans="1:13" ht="15.75" x14ac:dyDescent="0.3">
      <c r="A20" s="62"/>
      <c r="B20" s="9"/>
      <c r="C20" s="10"/>
      <c r="D20" s="30">
        <v>4.12</v>
      </c>
      <c r="E20" s="31" t="s">
        <v>109</v>
      </c>
      <c r="F20" s="32"/>
      <c r="G20" s="32"/>
      <c r="H20" s="13"/>
      <c r="I20" s="13"/>
      <c r="J20" s="13"/>
      <c r="K20" s="85">
        <f>SUM(K22:K23)</f>
        <v>7200</v>
      </c>
      <c r="L20" s="13"/>
      <c r="M20" s="63"/>
    </row>
    <row r="21" spans="1:13" ht="7.5" customHeight="1" x14ac:dyDescent="0.3">
      <c r="A21" s="62"/>
      <c r="B21" s="9"/>
      <c r="C21" s="9"/>
      <c r="D21" s="9"/>
      <c r="E21" s="10"/>
      <c r="F21" s="77"/>
      <c r="G21" s="10"/>
      <c r="H21" s="10"/>
      <c r="I21" s="10"/>
      <c r="J21" s="10"/>
      <c r="K21" s="87"/>
      <c r="L21" s="11"/>
      <c r="M21" s="63"/>
    </row>
    <row r="22" spans="1:13" ht="15.75" x14ac:dyDescent="0.3">
      <c r="A22" s="62"/>
      <c r="B22" s="9"/>
      <c r="C22" s="9"/>
      <c r="D22" s="9"/>
      <c r="E22" s="10"/>
      <c r="F22" s="7" t="s">
        <v>112</v>
      </c>
      <c r="G22" s="7"/>
      <c r="H22" s="8" t="s">
        <v>94</v>
      </c>
      <c r="I22" s="36">
        <v>50</v>
      </c>
      <c r="J22" s="41">
        <f>('02 - Terreno - Costo'!$I$15)*0.02</f>
        <v>72</v>
      </c>
      <c r="K22" s="42">
        <f>+I22*J22</f>
        <v>3600</v>
      </c>
      <c r="L22" s="8"/>
      <c r="M22" s="63"/>
    </row>
    <row r="23" spans="1:13" ht="15.75" x14ac:dyDescent="0.3">
      <c r="A23" s="62"/>
      <c r="B23" s="9"/>
      <c r="C23" s="9"/>
      <c r="D23" s="9"/>
      <c r="E23" s="10"/>
      <c r="F23" s="5" t="s">
        <v>112</v>
      </c>
      <c r="G23" s="5"/>
      <c r="H23" s="8" t="s">
        <v>94</v>
      </c>
      <c r="I23" s="36">
        <v>50</v>
      </c>
      <c r="J23" s="41">
        <f>('02 - Terreno - Costo'!$I$15)*0.02</f>
        <v>72</v>
      </c>
      <c r="K23" s="42">
        <f>+I23*J23</f>
        <v>3600</v>
      </c>
      <c r="L23" s="8"/>
      <c r="M23" s="63"/>
    </row>
    <row r="24" spans="1:13" ht="7.5" customHeight="1" x14ac:dyDescent="0.3">
      <c r="A24" s="62"/>
      <c r="B24" s="9"/>
      <c r="C24" s="9"/>
      <c r="D24" s="9"/>
      <c r="E24" s="10"/>
      <c r="F24" s="34"/>
      <c r="G24" s="19"/>
      <c r="H24" s="20"/>
      <c r="I24" s="73"/>
      <c r="J24" s="60"/>
      <c r="K24" s="42"/>
      <c r="L24" s="8"/>
      <c r="M24" s="63"/>
    </row>
    <row r="25" spans="1:13" ht="15.75" x14ac:dyDescent="0.3">
      <c r="A25" s="62"/>
      <c r="B25" s="10"/>
      <c r="C25" s="10"/>
      <c r="D25" s="30">
        <v>4.13</v>
      </c>
      <c r="E25" s="31" t="s">
        <v>110</v>
      </c>
      <c r="F25" s="32"/>
      <c r="G25" s="32"/>
      <c r="H25" s="13"/>
      <c r="I25" s="13"/>
      <c r="J25" s="13"/>
      <c r="K25" s="85">
        <f>SUM(K27:K28)</f>
        <v>750</v>
      </c>
      <c r="L25" s="13"/>
      <c r="M25" s="63"/>
    </row>
    <row r="26" spans="1:13" ht="7.5" customHeight="1" x14ac:dyDescent="0.3">
      <c r="A26" s="62"/>
      <c r="B26" s="10"/>
      <c r="C26" s="10"/>
      <c r="D26" s="9"/>
      <c r="E26" s="10"/>
      <c r="F26" s="77"/>
      <c r="G26" s="10"/>
      <c r="H26" s="10"/>
      <c r="I26" s="10"/>
      <c r="J26" s="10"/>
      <c r="K26" s="87"/>
      <c r="L26" s="11"/>
      <c r="M26" s="63"/>
    </row>
    <row r="27" spans="1:13" ht="15.75" x14ac:dyDescent="0.3">
      <c r="A27" s="62"/>
      <c r="B27" s="10"/>
      <c r="C27" s="10"/>
      <c r="D27" s="9"/>
      <c r="E27" s="10"/>
      <c r="F27" s="7" t="s">
        <v>111</v>
      </c>
      <c r="G27" s="7"/>
      <c r="H27" s="8" t="s">
        <v>94</v>
      </c>
      <c r="I27" s="36">
        <v>1</v>
      </c>
      <c r="J27" s="41">
        <v>300</v>
      </c>
      <c r="K27" s="79">
        <f>$J$27*$I$27</f>
        <v>300</v>
      </c>
      <c r="L27" s="8"/>
      <c r="M27" s="63"/>
    </row>
    <row r="28" spans="1:13" ht="15.75" x14ac:dyDescent="0.3">
      <c r="A28" s="62"/>
      <c r="B28" s="10"/>
      <c r="C28" s="10"/>
      <c r="D28" s="9"/>
      <c r="E28" s="10"/>
      <c r="F28" s="7" t="s">
        <v>113</v>
      </c>
      <c r="G28" s="7"/>
      <c r="H28" s="8" t="s">
        <v>94</v>
      </c>
      <c r="I28" s="36">
        <v>1</v>
      </c>
      <c r="J28" s="41">
        <v>450</v>
      </c>
      <c r="K28" s="79">
        <f>$J$28*$I$28</f>
        <v>450</v>
      </c>
      <c r="L28" s="8"/>
      <c r="M28" s="63"/>
    </row>
    <row r="29" spans="1:13" ht="7.5" customHeight="1" x14ac:dyDescent="0.3">
      <c r="A29" s="5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72"/>
    </row>
  </sheetData>
  <mergeCells count="3">
    <mergeCell ref="B8:D8"/>
    <mergeCell ref="E8:G8"/>
    <mergeCell ref="B9:L9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L20" sqref="L20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6.42578125" bestFit="1" customWidth="1"/>
    <col min="4" max="4" width="6.5703125" customWidth="1"/>
    <col min="5" max="5" width="4.5703125" customWidth="1"/>
    <col min="6" max="6" width="11.42578125" customWidth="1"/>
    <col min="7" max="7" width="50.28515625" bestFit="1" customWidth="1"/>
    <col min="9" max="9" width="13" bestFit="1" customWidth="1"/>
    <col min="10" max="10" width="17.7109375" bestFit="1" customWidth="1"/>
    <col min="11" max="12" width="19.85546875" bestFit="1" customWidth="1"/>
    <col min="13" max="13" width="2.85546875" customWidth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1"/>
    </row>
    <row r="2" spans="1:13" ht="15.75" x14ac:dyDescent="0.3">
      <c r="A2" s="62"/>
      <c r="B2" s="14"/>
      <c r="C2" s="14"/>
      <c r="D2" s="14"/>
      <c r="E2" s="15" t="s">
        <v>76</v>
      </c>
      <c r="F2" s="16"/>
      <c r="G2" s="16"/>
      <c r="H2" s="17"/>
      <c r="I2" s="17"/>
      <c r="J2" s="17"/>
      <c r="K2" s="17"/>
      <c r="L2" s="85">
        <f>$I$4*$I$5</f>
        <v>3616200</v>
      </c>
      <c r="M2" s="63"/>
    </row>
    <row r="3" spans="1:13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63"/>
    </row>
    <row r="4" spans="1:13" s="1" customFormat="1" ht="15.75" x14ac:dyDescent="0.3">
      <c r="A4" s="62"/>
      <c r="B4" s="50"/>
      <c r="C4" s="19"/>
      <c r="D4" s="19"/>
      <c r="E4" s="19" t="s">
        <v>100</v>
      </c>
      <c r="F4" s="19"/>
      <c r="G4" s="19"/>
      <c r="H4" s="59" t="s">
        <v>3</v>
      </c>
      <c r="I4" s="18">
        <f>'01 - Terreno - Datos'!$K$24</f>
        <v>12300</v>
      </c>
      <c r="J4" s="19"/>
      <c r="K4" s="19"/>
      <c r="L4" s="61"/>
      <c r="M4" s="63"/>
    </row>
    <row r="5" spans="1:13" s="1" customFormat="1" ht="15.75" x14ac:dyDescent="0.3">
      <c r="A5" s="62"/>
      <c r="B5" s="53"/>
      <c r="C5" s="5"/>
      <c r="D5" s="5"/>
      <c r="E5" s="5" t="s">
        <v>101</v>
      </c>
      <c r="F5" s="5"/>
      <c r="G5" s="5"/>
      <c r="H5" s="98" t="s">
        <v>77</v>
      </c>
      <c r="I5" s="4">
        <f>'03 - Proyecto'!$I$5</f>
        <v>294</v>
      </c>
      <c r="J5" s="5"/>
      <c r="K5" s="5"/>
      <c r="L5" s="72"/>
      <c r="M5" s="63"/>
    </row>
    <row r="6" spans="1:13" s="1" customFormat="1" ht="7.5" customHeight="1" x14ac:dyDescent="0.3">
      <c r="A6" s="62"/>
      <c r="B6" s="19"/>
      <c r="C6" s="19"/>
      <c r="D6" s="19"/>
      <c r="E6" s="19"/>
      <c r="F6" s="19"/>
      <c r="G6" s="19"/>
      <c r="H6" s="21"/>
      <c r="I6" s="18"/>
      <c r="J6" s="19"/>
      <c r="K6" s="19"/>
      <c r="L6" s="19"/>
      <c r="M6" s="63"/>
    </row>
    <row r="7" spans="1:13" ht="15.75" x14ac:dyDescent="0.3">
      <c r="A7" s="62"/>
      <c r="B7" s="14"/>
      <c r="C7" s="14"/>
      <c r="D7" s="14"/>
      <c r="E7" s="15" t="s">
        <v>114</v>
      </c>
      <c r="F7" s="16"/>
      <c r="G7" s="16"/>
      <c r="H7" s="17"/>
      <c r="I7" s="17"/>
      <c r="J7" s="17"/>
      <c r="K7" s="17"/>
      <c r="L7" s="85">
        <f>I4*I9/100</f>
        <v>319.8</v>
      </c>
      <c r="M7" s="63"/>
    </row>
    <row r="8" spans="1:13" s="1" customFormat="1" ht="7.5" customHeight="1" x14ac:dyDescent="0.3">
      <c r="A8" s="62"/>
      <c r="B8" s="10"/>
      <c r="C8" s="10"/>
      <c r="D8" s="10"/>
      <c r="E8" s="10"/>
      <c r="F8" s="10"/>
      <c r="G8" s="10"/>
      <c r="H8" s="93"/>
      <c r="I8" s="9"/>
      <c r="J8" s="10"/>
      <c r="K8" s="10"/>
      <c r="L8" s="10"/>
      <c r="M8" s="63"/>
    </row>
    <row r="9" spans="1:13" s="1" customFormat="1" ht="15.75" x14ac:dyDescent="0.3">
      <c r="A9" s="62"/>
      <c r="B9" s="50"/>
      <c r="C9" s="19"/>
      <c r="D9" s="19"/>
      <c r="E9" s="100" t="s">
        <v>115</v>
      </c>
      <c r="F9" s="19"/>
      <c r="G9" s="19"/>
      <c r="H9" s="21" t="s">
        <v>32</v>
      </c>
      <c r="I9" s="18">
        <v>2.6</v>
      </c>
      <c r="J9" s="19"/>
      <c r="K9" s="19"/>
      <c r="L9" s="61"/>
      <c r="M9" s="63"/>
    </row>
    <row r="10" spans="1:13" s="1" customFormat="1" ht="15.75" x14ac:dyDescent="0.3">
      <c r="A10" s="62"/>
      <c r="B10" s="53"/>
      <c r="C10" s="5"/>
      <c r="D10" s="5"/>
      <c r="E10" s="5" t="s">
        <v>116</v>
      </c>
      <c r="F10" s="5"/>
      <c r="G10" s="5"/>
      <c r="H10" s="98" t="s">
        <v>77</v>
      </c>
      <c r="I10" s="4">
        <v>66.67</v>
      </c>
      <c r="J10" s="5"/>
      <c r="K10" s="5"/>
      <c r="L10" s="72"/>
      <c r="M10" s="63"/>
    </row>
    <row r="11" spans="1:13" s="1" customFormat="1" ht="7.5" customHeight="1" x14ac:dyDescent="0.3">
      <c r="A11" s="62"/>
      <c r="B11" s="10"/>
      <c r="C11" s="10"/>
      <c r="D11" s="10"/>
      <c r="E11" s="10"/>
      <c r="F11" s="10"/>
      <c r="G11" s="10"/>
      <c r="H11" s="93"/>
      <c r="I11" s="9"/>
      <c r="J11" s="10"/>
      <c r="K11" s="10"/>
      <c r="L11" s="10"/>
      <c r="M11" s="63"/>
    </row>
    <row r="12" spans="1:13" ht="15.75" x14ac:dyDescent="0.3">
      <c r="A12" s="62"/>
      <c r="B12" s="14"/>
      <c r="C12" s="14"/>
      <c r="D12" s="14"/>
      <c r="E12" s="15" t="s">
        <v>117</v>
      </c>
      <c r="F12" s="16"/>
      <c r="G12" s="16"/>
      <c r="H12" s="17"/>
      <c r="I12" s="17"/>
      <c r="J12" s="17"/>
      <c r="K12" s="17"/>
      <c r="L12" s="85">
        <f>SUM(I14:I16)</f>
        <v>195</v>
      </c>
      <c r="M12" s="63"/>
    </row>
    <row r="13" spans="1:13" s="1" customFormat="1" ht="7.5" customHeight="1" x14ac:dyDescent="0.3">
      <c r="A13" s="62"/>
      <c r="B13" s="7"/>
      <c r="C13" s="7"/>
      <c r="D13" s="7"/>
      <c r="E13" s="7"/>
      <c r="F13" s="7"/>
      <c r="G13" s="7"/>
      <c r="H13" s="80"/>
      <c r="I13" s="99"/>
      <c r="J13" s="7"/>
      <c r="K13" s="7"/>
      <c r="L13" s="7"/>
      <c r="M13" s="63"/>
    </row>
    <row r="14" spans="1:13" s="1" customFormat="1" ht="15.75" x14ac:dyDescent="0.3">
      <c r="A14" s="62"/>
      <c r="B14" s="50"/>
      <c r="C14" s="19"/>
      <c r="D14" s="19"/>
      <c r="E14" s="19" t="s">
        <v>118</v>
      </c>
      <c r="F14" s="19"/>
      <c r="G14" s="19"/>
      <c r="H14" s="21" t="s">
        <v>53</v>
      </c>
      <c r="I14" s="18">
        <v>95</v>
      </c>
      <c r="J14" s="19"/>
      <c r="K14" s="19"/>
      <c r="L14" s="61"/>
      <c r="M14" s="63"/>
    </row>
    <row r="15" spans="1:13" s="1" customFormat="1" ht="15.75" x14ac:dyDescent="0.3">
      <c r="A15" s="62"/>
      <c r="B15" s="62"/>
      <c r="C15" s="10"/>
      <c r="D15" s="10"/>
      <c r="E15" s="101" t="s">
        <v>119</v>
      </c>
      <c r="F15" s="10"/>
      <c r="G15" s="10"/>
      <c r="H15" s="93" t="s">
        <v>53</v>
      </c>
      <c r="I15" s="9">
        <v>71</v>
      </c>
      <c r="J15" s="10"/>
      <c r="K15" s="10"/>
      <c r="L15" s="63"/>
      <c r="M15" s="63"/>
    </row>
    <row r="16" spans="1:13" s="1" customFormat="1" ht="15.75" x14ac:dyDescent="0.3">
      <c r="A16" s="62"/>
      <c r="B16" s="53"/>
      <c r="C16" s="5"/>
      <c r="D16" s="5"/>
      <c r="E16" s="5" t="s">
        <v>120</v>
      </c>
      <c r="F16" s="5"/>
      <c r="G16" s="5"/>
      <c r="H16" s="98" t="s">
        <v>53</v>
      </c>
      <c r="I16" s="4">
        <v>29</v>
      </c>
      <c r="J16" s="5"/>
      <c r="K16" s="5"/>
      <c r="L16" s="72"/>
      <c r="M16" s="63"/>
    </row>
    <row r="17" spans="1:13" s="1" customFormat="1" ht="7.5" customHeight="1" x14ac:dyDescent="0.3">
      <c r="A17" s="62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63"/>
    </row>
    <row r="18" spans="1:13" ht="15.75" x14ac:dyDescent="0.3">
      <c r="A18" s="62"/>
      <c r="B18" s="224" t="s">
        <v>26</v>
      </c>
      <c r="C18" s="224"/>
      <c r="D18" s="224"/>
      <c r="E18" s="221" t="s">
        <v>27</v>
      </c>
      <c r="F18" s="221"/>
      <c r="G18" s="221"/>
      <c r="H18" s="96" t="s">
        <v>4</v>
      </c>
      <c r="I18" s="96" t="s">
        <v>5</v>
      </c>
      <c r="J18" s="96" t="s">
        <v>6</v>
      </c>
      <c r="K18" s="96" t="s">
        <v>7</v>
      </c>
      <c r="L18" s="96" t="s">
        <v>8</v>
      </c>
      <c r="M18" s="63"/>
    </row>
    <row r="19" spans="1:13" ht="7.5" customHeight="1" x14ac:dyDescent="0.3">
      <c r="A19" s="62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63"/>
    </row>
    <row r="20" spans="1:13" ht="15.75" x14ac:dyDescent="0.3">
      <c r="A20" s="62"/>
      <c r="B20" s="114">
        <v>5</v>
      </c>
      <c r="C20" s="15" t="s">
        <v>121</v>
      </c>
      <c r="D20" s="14"/>
      <c r="E20" s="15"/>
      <c r="F20" s="16"/>
      <c r="G20" s="16"/>
      <c r="H20" s="17"/>
      <c r="I20" s="17"/>
      <c r="J20" s="17"/>
      <c r="K20" s="17"/>
      <c r="L20" s="85">
        <f>$L$22+$L$62</f>
        <v>72019.056000000011</v>
      </c>
      <c r="M20" s="63"/>
    </row>
    <row r="21" spans="1:13" ht="7.5" customHeight="1" x14ac:dyDescent="0.3">
      <c r="A21" s="62"/>
      <c r="B21" s="9"/>
      <c r="C21" s="9"/>
      <c r="D21" s="9"/>
      <c r="E21" s="10"/>
      <c r="F21" s="10"/>
      <c r="G21" s="10"/>
      <c r="H21" s="28"/>
      <c r="I21" s="28"/>
      <c r="J21" s="28"/>
      <c r="K21" s="28"/>
      <c r="L21" s="28"/>
      <c r="M21" s="63"/>
    </row>
    <row r="22" spans="1:13" ht="15.75" x14ac:dyDescent="0.3">
      <c r="A22" s="62"/>
      <c r="B22" s="9"/>
      <c r="C22" s="65">
        <v>5.0999999999999996</v>
      </c>
      <c r="D22" s="67" t="s">
        <v>122</v>
      </c>
      <c r="E22" s="67"/>
      <c r="F22" s="29"/>
      <c r="G22" s="29"/>
      <c r="H22" s="68"/>
      <c r="I22" s="68"/>
      <c r="J22" s="68"/>
      <c r="K22" s="68"/>
      <c r="L22" s="85">
        <f>$K$24+$K$28+$K$38+$K$43+$K$51+$K$57</f>
        <v>44400.456000000006</v>
      </c>
      <c r="M22" s="63"/>
    </row>
    <row r="23" spans="1:13" ht="7.5" customHeight="1" x14ac:dyDescent="0.3">
      <c r="A23" s="62"/>
      <c r="B23" s="9"/>
      <c r="C23" s="9"/>
      <c r="D23" s="9"/>
      <c r="E23" s="10"/>
      <c r="F23" s="10"/>
      <c r="G23" s="10"/>
      <c r="H23" s="28"/>
      <c r="I23" s="28"/>
      <c r="J23" s="28"/>
      <c r="K23" s="28"/>
      <c r="L23" s="28"/>
      <c r="M23" s="63"/>
    </row>
    <row r="24" spans="1:13" ht="15.75" x14ac:dyDescent="0.3">
      <c r="A24" s="62"/>
      <c r="B24" s="9"/>
      <c r="C24" s="10"/>
      <c r="D24" s="113">
        <v>5.1100000000000003</v>
      </c>
      <c r="E24" s="31" t="s">
        <v>123</v>
      </c>
      <c r="F24" s="32"/>
      <c r="G24" s="32"/>
      <c r="H24" s="13"/>
      <c r="I24" s="13"/>
      <c r="J24" s="13"/>
      <c r="K24" s="85">
        <f>SUM(K26:K26)</f>
        <v>21321.066000000003</v>
      </c>
      <c r="L24" s="13"/>
      <c r="M24" s="63"/>
    </row>
    <row r="25" spans="1:13" ht="7.5" customHeight="1" x14ac:dyDescent="0.3">
      <c r="A25" s="62"/>
      <c r="B25" s="9"/>
      <c r="C25" s="9"/>
      <c r="D25" s="9"/>
      <c r="E25" s="10"/>
      <c r="F25" s="77"/>
      <c r="G25" s="10"/>
      <c r="H25" s="10"/>
      <c r="I25" s="10"/>
      <c r="J25" s="10"/>
      <c r="K25" s="87"/>
      <c r="L25" s="28"/>
      <c r="M25" s="63"/>
    </row>
    <row r="26" spans="1:13" ht="15.75" x14ac:dyDescent="0.3">
      <c r="A26" s="62"/>
      <c r="B26" s="9"/>
      <c r="C26" s="9"/>
      <c r="D26" s="9"/>
      <c r="E26" s="10"/>
      <c r="F26" s="94" t="s">
        <v>124</v>
      </c>
      <c r="G26" s="7"/>
      <c r="H26" s="89" t="s">
        <v>3</v>
      </c>
      <c r="I26" s="86">
        <f>+$L$7</f>
        <v>319.8</v>
      </c>
      <c r="J26" s="95">
        <f>$I$10</f>
        <v>66.67</v>
      </c>
      <c r="K26" s="84">
        <f>($J$26*$I$26)</f>
        <v>21321.066000000003</v>
      </c>
      <c r="L26" s="8"/>
      <c r="M26" s="63"/>
    </row>
    <row r="27" spans="1:13" ht="7.5" customHeight="1" x14ac:dyDescent="0.3">
      <c r="A27" s="62"/>
      <c r="B27" s="9"/>
      <c r="C27" s="9"/>
      <c r="D27" s="9"/>
      <c r="E27" s="10"/>
      <c r="F27" s="10"/>
      <c r="G27" s="10"/>
      <c r="H27" s="28"/>
      <c r="I27" s="55"/>
      <c r="J27" s="75"/>
      <c r="K27" s="76"/>
      <c r="L27" s="28"/>
      <c r="M27" s="63"/>
    </row>
    <row r="28" spans="1:13" ht="15.75" x14ac:dyDescent="0.3">
      <c r="A28" s="62"/>
      <c r="B28" s="9"/>
      <c r="C28" s="10"/>
      <c r="D28" s="113">
        <v>5.12</v>
      </c>
      <c r="E28" s="31" t="s">
        <v>125</v>
      </c>
      <c r="F28" s="32"/>
      <c r="G28" s="32"/>
      <c r="H28" s="13"/>
      <c r="I28" s="13"/>
      <c r="J28" s="13"/>
      <c r="K28" s="85">
        <f>$K$30+$K$33</f>
        <v>5689.4400000000005</v>
      </c>
      <c r="L28" s="13"/>
      <c r="M28" s="63"/>
    </row>
    <row r="29" spans="1:13" ht="7.5" customHeight="1" x14ac:dyDescent="0.3">
      <c r="A29" s="62"/>
      <c r="B29" s="9"/>
      <c r="C29" s="9"/>
      <c r="D29" s="9"/>
      <c r="E29" s="10"/>
      <c r="F29" s="77"/>
      <c r="G29" s="10"/>
      <c r="H29" s="10"/>
      <c r="I29" s="10"/>
      <c r="J29" s="10"/>
      <c r="K29" s="87"/>
      <c r="L29" s="28"/>
      <c r="M29" s="63"/>
    </row>
    <row r="30" spans="1:13" ht="15.75" x14ac:dyDescent="0.3">
      <c r="A30" s="62"/>
      <c r="B30" s="9"/>
      <c r="C30" s="9"/>
      <c r="D30" s="9"/>
      <c r="E30" s="10"/>
      <c r="F30" s="7" t="s">
        <v>132</v>
      </c>
      <c r="G30" s="7"/>
      <c r="H30" s="8"/>
      <c r="I30" s="36"/>
      <c r="J30" s="41"/>
      <c r="K30" s="109">
        <f>SUM(K31:K32)</f>
        <v>1200</v>
      </c>
      <c r="L30" s="8"/>
      <c r="M30" s="63"/>
    </row>
    <row r="31" spans="1:13" ht="15.75" x14ac:dyDescent="0.3">
      <c r="A31" s="62"/>
      <c r="B31" s="9"/>
      <c r="C31" s="9"/>
      <c r="D31" s="9"/>
      <c r="E31" s="10"/>
      <c r="F31" s="5"/>
      <c r="G31" s="5" t="s">
        <v>126</v>
      </c>
      <c r="H31" s="89" t="s">
        <v>19</v>
      </c>
      <c r="I31" s="36">
        <v>1</v>
      </c>
      <c r="J31" s="41">
        <v>1000</v>
      </c>
      <c r="K31" s="42">
        <f>$J$31*$I$31</f>
        <v>1000</v>
      </c>
      <c r="L31" s="8"/>
      <c r="M31" s="63"/>
    </row>
    <row r="32" spans="1:13" ht="15.75" x14ac:dyDescent="0.3">
      <c r="A32" s="62"/>
      <c r="B32" s="9"/>
      <c r="C32" s="9"/>
      <c r="D32" s="9"/>
      <c r="E32" s="10"/>
      <c r="F32" s="5"/>
      <c r="G32" s="5" t="s">
        <v>127</v>
      </c>
      <c r="H32" s="89" t="s">
        <v>19</v>
      </c>
      <c r="I32" s="36">
        <v>1</v>
      </c>
      <c r="J32" s="41">
        <v>200</v>
      </c>
      <c r="K32" s="42">
        <f>$J$32*$I$32</f>
        <v>200</v>
      </c>
      <c r="L32" s="8"/>
      <c r="M32" s="63"/>
    </row>
    <row r="33" spans="1:13" ht="15.75" x14ac:dyDescent="0.3">
      <c r="A33" s="62"/>
      <c r="B33" s="9"/>
      <c r="C33" s="9"/>
      <c r="D33" s="9"/>
      <c r="E33" s="10"/>
      <c r="F33" s="5" t="s">
        <v>79</v>
      </c>
      <c r="G33" s="5"/>
      <c r="H33" s="89"/>
      <c r="I33" s="36"/>
      <c r="J33" s="41"/>
      <c r="K33" s="109">
        <f>SUM(K34:K36)</f>
        <v>4489.4400000000005</v>
      </c>
      <c r="L33" s="8"/>
      <c r="M33" s="63"/>
    </row>
    <row r="34" spans="1:13" ht="15.75" x14ac:dyDescent="0.3">
      <c r="A34" s="62"/>
      <c r="B34" s="9"/>
      <c r="C34" s="9"/>
      <c r="D34" s="9"/>
      <c r="E34" s="10"/>
      <c r="F34" s="5"/>
      <c r="G34" s="5" t="s">
        <v>73</v>
      </c>
      <c r="H34" s="89" t="s">
        <v>75</v>
      </c>
      <c r="I34" s="103">
        <v>1E-3</v>
      </c>
      <c r="J34" s="41">
        <f>$L$2</f>
        <v>3616200</v>
      </c>
      <c r="K34" s="42">
        <f>($J$34*$I$34)</f>
        <v>3616.2000000000003</v>
      </c>
      <c r="L34" s="8"/>
      <c r="M34" s="63"/>
    </row>
    <row r="35" spans="1:13" ht="15.75" x14ac:dyDescent="0.3">
      <c r="A35" s="62"/>
      <c r="B35" s="9"/>
      <c r="C35" s="9"/>
      <c r="D35" s="9"/>
      <c r="E35" s="10"/>
      <c r="F35" s="5"/>
      <c r="G35" s="5" t="s">
        <v>74</v>
      </c>
      <c r="H35" s="89" t="s">
        <v>75</v>
      </c>
      <c r="I35" s="104">
        <v>2.0000000000000001E-4</v>
      </c>
      <c r="J35" s="41">
        <f>$L$2</f>
        <v>3616200</v>
      </c>
      <c r="K35" s="42">
        <f>$J$35*$I$35</f>
        <v>723.24</v>
      </c>
      <c r="L35" s="8"/>
      <c r="M35" s="63"/>
    </row>
    <row r="36" spans="1:13" ht="15.75" x14ac:dyDescent="0.3">
      <c r="A36" s="62"/>
      <c r="B36" s="9"/>
      <c r="C36" s="9"/>
      <c r="D36" s="9"/>
      <c r="E36" s="10"/>
      <c r="F36" s="5"/>
      <c r="G36" s="5" t="s">
        <v>128</v>
      </c>
      <c r="H36" s="89" t="s">
        <v>19</v>
      </c>
      <c r="I36" s="36">
        <v>1</v>
      </c>
      <c r="J36" s="41">
        <v>150</v>
      </c>
      <c r="K36" s="42">
        <f>$J$36*$I$36</f>
        <v>150</v>
      </c>
      <c r="L36" s="8"/>
      <c r="M36" s="63"/>
    </row>
    <row r="37" spans="1:13" ht="7.5" customHeight="1" x14ac:dyDescent="0.3">
      <c r="A37" s="62"/>
      <c r="B37" s="9"/>
      <c r="C37" s="9"/>
      <c r="D37" s="9"/>
      <c r="E37" s="10"/>
      <c r="F37" s="34"/>
      <c r="G37" s="19"/>
      <c r="H37" s="25"/>
      <c r="I37" s="73"/>
      <c r="J37" s="60"/>
      <c r="K37" s="42"/>
      <c r="L37" s="142"/>
      <c r="M37" s="63"/>
    </row>
    <row r="38" spans="1:13" ht="15.75" x14ac:dyDescent="0.3">
      <c r="A38" s="62"/>
      <c r="B38" s="10"/>
      <c r="C38" s="10"/>
      <c r="D38" s="113">
        <v>5.13</v>
      </c>
      <c r="E38" s="31" t="s">
        <v>129</v>
      </c>
      <c r="F38" s="32"/>
      <c r="G38" s="32"/>
      <c r="H38" s="13"/>
      <c r="I38" s="13"/>
      <c r="J38" s="13"/>
      <c r="K38" s="85">
        <f>SUM(K40:K41)</f>
        <v>4789.95</v>
      </c>
      <c r="L38" s="13"/>
      <c r="M38" s="63"/>
    </row>
    <row r="39" spans="1:13" ht="7.5" customHeight="1" x14ac:dyDescent="0.3">
      <c r="A39" s="62"/>
      <c r="B39" s="10"/>
      <c r="C39" s="10"/>
      <c r="D39" s="9"/>
      <c r="E39" s="10"/>
      <c r="F39" s="77"/>
      <c r="G39" s="10"/>
      <c r="H39" s="10"/>
      <c r="I39" s="10"/>
      <c r="J39" s="10"/>
      <c r="K39" s="87"/>
      <c r="L39" s="28"/>
      <c r="M39" s="63"/>
    </row>
    <row r="40" spans="1:13" ht="15.75" x14ac:dyDescent="0.3">
      <c r="A40" s="62"/>
      <c r="B40" s="10"/>
      <c r="C40" s="10"/>
      <c r="D40" s="9"/>
      <c r="E40" s="10"/>
      <c r="F40" s="7"/>
      <c r="G40" s="7" t="s">
        <v>130</v>
      </c>
      <c r="H40" s="89" t="s">
        <v>94</v>
      </c>
      <c r="I40" s="36">
        <v>2</v>
      </c>
      <c r="J40" s="41">
        <v>48.15</v>
      </c>
      <c r="K40" s="84">
        <f>$J$40*$I$40</f>
        <v>96.3</v>
      </c>
      <c r="L40" s="8"/>
      <c r="M40" s="63"/>
    </row>
    <row r="41" spans="1:13" ht="15.75" x14ac:dyDescent="0.3">
      <c r="A41" s="62"/>
      <c r="B41" s="10"/>
      <c r="C41" s="10"/>
      <c r="D41" s="9"/>
      <c r="E41" s="10"/>
      <c r="F41" s="7"/>
      <c r="G41" s="7" t="s">
        <v>131</v>
      </c>
      <c r="H41" s="89" t="s">
        <v>94</v>
      </c>
      <c r="I41" s="36">
        <f>$L$12</f>
        <v>195</v>
      </c>
      <c r="J41" s="41">
        <v>24.07</v>
      </c>
      <c r="K41" s="84">
        <f>$J$41*$I$41</f>
        <v>4693.6499999999996</v>
      </c>
      <c r="L41" s="8"/>
      <c r="M41" s="63"/>
    </row>
    <row r="42" spans="1:13" ht="7.5" customHeight="1" x14ac:dyDescent="0.3">
      <c r="A42" s="62"/>
      <c r="B42" s="10"/>
      <c r="C42" s="10"/>
      <c r="D42" s="9"/>
      <c r="E42" s="10"/>
      <c r="F42" s="10"/>
      <c r="G42" s="10"/>
      <c r="H42" s="105"/>
      <c r="I42" s="43"/>
      <c r="J42" s="106"/>
      <c r="K42" s="107"/>
      <c r="L42" s="25"/>
      <c r="M42" s="63"/>
    </row>
    <row r="43" spans="1:13" ht="15.75" x14ac:dyDescent="0.3">
      <c r="A43" s="62"/>
      <c r="B43" s="10"/>
      <c r="C43" s="10"/>
      <c r="D43" s="113">
        <v>5.14</v>
      </c>
      <c r="E43" s="31" t="s">
        <v>133</v>
      </c>
      <c r="F43" s="32"/>
      <c r="G43" s="32"/>
      <c r="H43" s="13"/>
      <c r="I43" s="13"/>
      <c r="J43" s="13"/>
      <c r="K43" s="85">
        <f>$K$45+$K$48</f>
        <v>650</v>
      </c>
      <c r="L43" s="13"/>
      <c r="M43" s="63"/>
    </row>
    <row r="44" spans="1:13" ht="7.5" customHeight="1" x14ac:dyDescent="0.3">
      <c r="A44" s="62"/>
      <c r="B44" s="10"/>
      <c r="C44" s="10"/>
      <c r="D44" s="9"/>
      <c r="E44" s="10"/>
      <c r="F44" s="5"/>
      <c r="G44" s="5"/>
      <c r="H44" s="92"/>
      <c r="I44" s="37"/>
      <c r="J44" s="40"/>
      <c r="K44" s="108"/>
      <c r="L44" s="26"/>
      <c r="M44" s="63"/>
    </row>
    <row r="45" spans="1:13" ht="15.75" x14ac:dyDescent="0.3">
      <c r="A45" s="62"/>
      <c r="B45" s="10"/>
      <c r="C45" s="10"/>
      <c r="D45" s="9"/>
      <c r="E45" s="10"/>
      <c r="F45" s="7" t="s">
        <v>132</v>
      </c>
      <c r="G45" s="5"/>
      <c r="H45" s="92"/>
      <c r="I45" s="37"/>
      <c r="J45" s="40"/>
      <c r="K45" s="108">
        <f>SUM(K46:K47)</f>
        <v>500</v>
      </c>
      <c r="L45" s="26"/>
      <c r="M45" s="63"/>
    </row>
    <row r="46" spans="1:13" ht="15.75" x14ac:dyDescent="0.3">
      <c r="A46" s="62"/>
      <c r="B46" s="10"/>
      <c r="C46" s="10"/>
      <c r="D46" s="9"/>
      <c r="E46" s="10"/>
      <c r="F46" s="5"/>
      <c r="G46" s="5" t="s">
        <v>134</v>
      </c>
      <c r="H46" s="92" t="s">
        <v>19</v>
      </c>
      <c r="I46" s="37">
        <v>1</v>
      </c>
      <c r="J46" s="40">
        <v>200</v>
      </c>
      <c r="K46" s="149">
        <f>$J$46*$I$46</f>
        <v>200</v>
      </c>
      <c r="L46" s="26"/>
      <c r="M46" s="63"/>
    </row>
    <row r="47" spans="1:13" ht="15.75" x14ac:dyDescent="0.3">
      <c r="A47" s="62"/>
      <c r="B47" s="10"/>
      <c r="C47" s="10"/>
      <c r="D47" s="9"/>
      <c r="E47" s="10"/>
      <c r="F47" s="5"/>
      <c r="G47" s="5" t="s">
        <v>135</v>
      </c>
      <c r="H47" s="92" t="s">
        <v>19</v>
      </c>
      <c r="I47" s="37">
        <v>1</v>
      </c>
      <c r="J47" s="40">
        <v>300</v>
      </c>
      <c r="K47" s="149">
        <f>$J$47*$I$47</f>
        <v>300</v>
      </c>
      <c r="L47" s="26"/>
      <c r="M47" s="63"/>
    </row>
    <row r="48" spans="1:13" ht="15.75" x14ac:dyDescent="0.3">
      <c r="A48" s="62"/>
      <c r="B48" s="10"/>
      <c r="C48" s="10"/>
      <c r="D48" s="9"/>
      <c r="E48" s="10"/>
      <c r="F48" s="5" t="s">
        <v>79</v>
      </c>
      <c r="G48" s="5"/>
      <c r="H48" s="92"/>
      <c r="I48" s="37"/>
      <c r="J48" s="40"/>
      <c r="K48" s="108">
        <f>SUM(K49)</f>
        <v>150</v>
      </c>
      <c r="L48" s="26"/>
      <c r="M48" s="63"/>
    </row>
    <row r="49" spans="1:13" ht="15.75" x14ac:dyDescent="0.3">
      <c r="A49" s="62"/>
      <c r="B49" s="10"/>
      <c r="C49" s="10"/>
      <c r="D49" s="9"/>
      <c r="E49" s="10"/>
      <c r="F49" s="5"/>
      <c r="G49" s="5" t="s">
        <v>97</v>
      </c>
      <c r="H49" s="92" t="s">
        <v>19</v>
      </c>
      <c r="I49" s="37">
        <v>1</v>
      </c>
      <c r="J49" s="40">
        <v>150</v>
      </c>
      <c r="K49" s="149">
        <f>$J$49*$I$49</f>
        <v>150</v>
      </c>
      <c r="L49" s="26"/>
      <c r="M49" s="63"/>
    </row>
    <row r="50" spans="1:13" ht="7.5" customHeight="1" x14ac:dyDescent="0.3">
      <c r="A50" s="62"/>
      <c r="B50" s="10"/>
      <c r="C50" s="10"/>
      <c r="D50" s="9"/>
      <c r="E50" s="10"/>
      <c r="F50" s="10"/>
      <c r="G50" s="10"/>
      <c r="H50" s="105"/>
      <c r="I50" s="43"/>
      <c r="J50" s="106"/>
      <c r="K50" s="107"/>
      <c r="L50" s="25"/>
      <c r="M50" s="63"/>
    </row>
    <row r="51" spans="1:13" ht="15.75" x14ac:dyDescent="0.3">
      <c r="A51" s="62"/>
      <c r="B51" s="10"/>
      <c r="C51" s="10"/>
      <c r="D51" s="113">
        <v>5.15</v>
      </c>
      <c r="E51" s="31" t="s">
        <v>136</v>
      </c>
      <c r="F51" s="32"/>
      <c r="G51" s="32"/>
      <c r="H51" s="13"/>
      <c r="I51" s="13"/>
      <c r="J51" s="13"/>
      <c r="K51" s="85">
        <f>SUM(K53:K55)</f>
        <v>9950</v>
      </c>
      <c r="L51" s="13"/>
      <c r="M51" s="63"/>
    </row>
    <row r="52" spans="1:13" ht="7.5" customHeight="1" x14ac:dyDescent="0.3">
      <c r="A52" s="62"/>
      <c r="B52" s="10"/>
      <c r="C52" s="10"/>
      <c r="D52" s="9"/>
      <c r="E52" s="10"/>
      <c r="F52" s="5"/>
      <c r="G52" s="5"/>
      <c r="H52" s="92"/>
      <c r="I52" s="37"/>
      <c r="J52" s="40"/>
      <c r="K52" s="108"/>
      <c r="L52" s="26"/>
      <c r="M52" s="63"/>
    </row>
    <row r="53" spans="1:13" ht="15.75" x14ac:dyDescent="0.3">
      <c r="A53" s="62"/>
      <c r="B53" s="10"/>
      <c r="C53" s="10"/>
      <c r="D53" s="9"/>
      <c r="E53" s="10"/>
      <c r="F53" s="229" t="s">
        <v>137</v>
      </c>
      <c r="G53" s="230"/>
      <c r="H53" s="232" t="s">
        <v>94</v>
      </c>
      <c r="I53" s="234">
        <f>$L$12</f>
        <v>195</v>
      </c>
      <c r="J53" s="236">
        <v>50</v>
      </c>
      <c r="K53" s="238">
        <f>$J$53*$I$53</f>
        <v>9750</v>
      </c>
      <c r="L53" s="227"/>
      <c r="M53" s="63"/>
    </row>
    <row r="54" spans="1:13" ht="15.75" x14ac:dyDescent="0.3">
      <c r="A54" s="62"/>
      <c r="B54" s="10"/>
      <c r="C54" s="10"/>
      <c r="D54" s="9"/>
      <c r="E54" s="10"/>
      <c r="F54" s="231"/>
      <c r="G54" s="231"/>
      <c r="H54" s="233"/>
      <c r="I54" s="235"/>
      <c r="J54" s="237"/>
      <c r="K54" s="239"/>
      <c r="L54" s="228"/>
      <c r="M54" s="63"/>
    </row>
    <row r="55" spans="1:13" ht="15.75" x14ac:dyDescent="0.3">
      <c r="A55" s="62"/>
      <c r="B55" s="10"/>
      <c r="C55" s="10"/>
      <c r="D55" s="9"/>
      <c r="E55" s="10"/>
      <c r="F55" s="5" t="s">
        <v>138</v>
      </c>
      <c r="G55" s="111"/>
      <c r="H55" s="92" t="s">
        <v>19</v>
      </c>
      <c r="I55" s="37">
        <v>1</v>
      </c>
      <c r="J55" s="40">
        <v>200</v>
      </c>
      <c r="K55" s="149">
        <f>$J$55*$I$55</f>
        <v>200</v>
      </c>
      <c r="L55" s="26"/>
      <c r="M55" s="63"/>
    </row>
    <row r="56" spans="1:13" ht="7.5" customHeight="1" x14ac:dyDescent="0.3">
      <c r="A56" s="62"/>
      <c r="B56" s="10"/>
      <c r="C56" s="10"/>
      <c r="D56" s="9"/>
      <c r="E56" s="10"/>
      <c r="F56" s="10"/>
      <c r="G56" s="116"/>
      <c r="H56" s="105"/>
      <c r="I56" s="117"/>
      <c r="J56" s="75"/>
      <c r="K56" s="87"/>
      <c r="L56" s="28"/>
      <c r="M56" s="63"/>
    </row>
    <row r="57" spans="1:13" ht="15.75" x14ac:dyDescent="0.3">
      <c r="A57" s="62"/>
      <c r="B57" s="10"/>
      <c r="C57" s="10"/>
      <c r="D57" s="113">
        <v>5.16</v>
      </c>
      <c r="E57" s="31" t="s">
        <v>139</v>
      </c>
      <c r="F57" s="32"/>
      <c r="G57" s="32"/>
      <c r="H57" s="13"/>
      <c r="I57" s="13"/>
      <c r="J57" s="13"/>
      <c r="K57" s="85">
        <f>SUM(K59:K60)</f>
        <v>2000</v>
      </c>
      <c r="L57" s="13"/>
      <c r="M57" s="63"/>
    </row>
    <row r="58" spans="1:13" ht="7.5" customHeight="1" x14ac:dyDescent="0.3">
      <c r="A58" s="62"/>
      <c r="B58" s="10"/>
      <c r="C58" s="10"/>
      <c r="D58" s="9"/>
      <c r="E58" s="10"/>
      <c r="F58" s="5"/>
      <c r="G58" s="5"/>
      <c r="H58" s="92"/>
      <c r="I58" s="37"/>
      <c r="J58" s="40"/>
      <c r="K58" s="108"/>
      <c r="L58" s="26"/>
      <c r="M58" s="63"/>
    </row>
    <row r="59" spans="1:13" ht="15.75" x14ac:dyDescent="0.3">
      <c r="A59" s="62"/>
      <c r="B59" s="10"/>
      <c r="C59" s="10"/>
      <c r="D59" s="9"/>
      <c r="E59" s="10"/>
      <c r="F59" s="229" t="s">
        <v>140</v>
      </c>
      <c r="G59" s="230"/>
      <c r="H59" s="232" t="s">
        <v>19</v>
      </c>
      <c r="I59" s="234">
        <v>1</v>
      </c>
      <c r="J59" s="236">
        <v>2000</v>
      </c>
      <c r="K59" s="238">
        <f>$J$59*$I$59</f>
        <v>2000</v>
      </c>
      <c r="L59" s="227"/>
      <c r="M59" s="63"/>
    </row>
    <row r="60" spans="1:13" ht="15.75" x14ac:dyDescent="0.3">
      <c r="A60" s="62"/>
      <c r="B60" s="10"/>
      <c r="C60" s="10"/>
      <c r="D60" s="9"/>
      <c r="E60" s="10"/>
      <c r="F60" s="231"/>
      <c r="G60" s="231"/>
      <c r="H60" s="233"/>
      <c r="I60" s="235"/>
      <c r="J60" s="237"/>
      <c r="K60" s="239"/>
      <c r="L60" s="228"/>
      <c r="M60" s="63"/>
    </row>
    <row r="61" spans="1:13" ht="7.5" customHeight="1" x14ac:dyDescent="0.3">
      <c r="A61" s="62"/>
      <c r="B61" s="10"/>
      <c r="C61" s="10"/>
      <c r="D61" s="9"/>
      <c r="E61" s="10"/>
      <c r="F61" s="116"/>
      <c r="G61" s="116"/>
      <c r="H61" s="105"/>
      <c r="I61" s="55"/>
      <c r="J61" s="75"/>
      <c r="K61" s="110"/>
      <c r="L61" s="26"/>
      <c r="M61" s="63"/>
    </row>
    <row r="62" spans="1:13" ht="15.75" x14ac:dyDescent="0.3">
      <c r="A62" s="62"/>
      <c r="B62" s="10"/>
      <c r="C62" s="65">
        <v>5.2</v>
      </c>
      <c r="D62" s="67" t="s">
        <v>141</v>
      </c>
      <c r="E62" s="67"/>
      <c r="F62" s="29"/>
      <c r="G62" s="29"/>
      <c r="H62" s="68"/>
      <c r="I62" s="68"/>
      <c r="J62" s="68"/>
      <c r="K62" s="118"/>
      <c r="L62" s="85">
        <f>$K$64+$K$69</f>
        <v>27618.6</v>
      </c>
      <c r="M62" s="63"/>
    </row>
    <row r="63" spans="1:13" ht="7.5" customHeight="1" x14ac:dyDescent="0.3">
      <c r="A63" s="62"/>
      <c r="B63" s="10"/>
      <c r="C63" s="10"/>
      <c r="D63" s="9"/>
      <c r="E63" s="10"/>
      <c r="F63" s="116"/>
      <c r="G63" s="116"/>
      <c r="H63" s="105"/>
      <c r="I63" s="55"/>
      <c r="J63" s="75"/>
      <c r="K63" s="110"/>
      <c r="L63" s="28"/>
      <c r="M63" s="63"/>
    </row>
    <row r="64" spans="1:13" ht="15.75" x14ac:dyDescent="0.3">
      <c r="A64" s="62"/>
      <c r="B64" s="10"/>
      <c r="C64" s="10"/>
      <c r="D64" s="113">
        <v>5.21</v>
      </c>
      <c r="E64" s="31" t="s">
        <v>142</v>
      </c>
      <c r="F64" s="32"/>
      <c r="G64" s="32"/>
      <c r="H64" s="13"/>
      <c r="I64" s="13"/>
      <c r="J64" s="13"/>
      <c r="K64" s="85">
        <f>SUM(K66:K67)</f>
        <v>10998.6</v>
      </c>
      <c r="L64" s="13"/>
      <c r="M64" s="63"/>
    </row>
    <row r="65" spans="1:13" ht="7.5" customHeight="1" x14ac:dyDescent="0.3">
      <c r="A65" s="62"/>
      <c r="B65" s="10"/>
      <c r="C65" s="10"/>
      <c r="D65" s="9"/>
      <c r="E65" s="10"/>
      <c r="F65" s="77"/>
      <c r="G65" s="10"/>
      <c r="H65" s="10"/>
      <c r="I65" s="10"/>
      <c r="J65" s="10"/>
      <c r="K65" s="87"/>
      <c r="L65" s="28"/>
      <c r="M65" s="63"/>
    </row>
    <row r="66" spans="1:13" ht="15.75" x14ac:dyDescent="0.3">
      <c r="A66" s="62"/>
      <c r="B66" s="10"/>
      <c r="C66" s="10"/>
      <c r="D66" s="9"/>
      <c r="E66" s="10"/>
      <c r="F66" s="7" t="s">
        <v>143</v>
      </c>
      <c r="G66" s="7"/>
      <c r="H66" s="89" t="s">
        <v>75</v>
      </c>
      <c r="I66" s="103">
        <v>3.0000000000000001E-3</v>
      </c>
      <c r="J66" s="41">
        <f>$L$2</f>
        <v>3616200</v>
      </c>
      <c r="K66" s="84">
        <f>($J$66*$I$66)</f>
        <v>10848.6</v>
      </c>
      <c r="L66" s="8"/>
      <c r="M66" s="63"/>
    </row>
    <row r="67" spans="1:13" ht="15.75" x14ac:dyDescent="0.3">
      <c r="A67" s="62"/>
      <c r="B67" s="10"/>
      <c r="C67" s="10"/>
      <c r="D67" s="9"/>
      <c r="E67" s="10"/>
      <c r="F67" s="5" t="s">
        <v>144</v>
      </c>
      <c r="G67" s="7"/>
      <c r="H67" s="92" t="s">
        <v>19</v>
      </c>
      <c r="I67" s="36">
        <v>1</v>
      </c>
      <c r="J67" s="41">
        <v>150</v>
      </c>
      <c r="K67" s="84">
        <f>$J$67*$I$67</f>
        <v>150</v>
      </c>
      <c r="L67" s="8"/>
      <c r="M67" s="63"/>
    </row>
    <row r="68" spans="1:13" ht="7.5" customHeight="1" x14ac:dyDescent="0.3">
      <c r="A68" s="62"/>
      <c r="B68" s="10"/>
      <c r="C68" s="10"/>
      <c r="D68" s="9"/>
      <c r="E68" s="10"/>
      <c r="F68" s="116"/>
      <c r="G68" s="116"/>
      <c r="H68" s="105"/>
      <c r="I68" s="55"/>
      <c r="J68" s="75"/>
      <c r="K68" s="115"/>
      <c r="L68" s="28"/>
      <c r="M68" s="63"/>
    </row>
    <row r="69" spans="1:13" ht="15.75" x14ac:dyDescent="0.3">
      <c r="A69" s="62"/>
      <c r="B69" s="10"/>
      <c r="C69" s="10"/>
      <c r="D69" s="113">
        <v>5.22</v>
      </c>
      <c r="E69" s="31" t="s">
        <v>145</v>
      </c>
      <c r="F69" s="32"/>
      <c r="G69" s="32"/>
      <c r="H69" s="13"/>
      <c r="I69" s="13"/>
      <c r="J69" s="13"/>
      <c r="K69" s="85">
        <f>SUM(K71:K75)</f>
        <v>16620</v>
      </c>
      <c r="L69" s="13"/>
      <c r="M69" s="63"/>
    </row>
    <row r="70" spans="1:13" ht="7.5" customHeight="1" x14ac:dyDescent="0.3">
      <c r="A70" s="62"/>
      <c r="B70" s="10"/>
      <c r="C70" s="10"/>
      <c r="D70" s="9"/>
      <c r="E70" s="10"/>
      <c r="F70" s="77"/>
      <c r="G70" s="10"/>
      <c r="H70" s="10"/>
      <c r="I70" s="10"/>
      <c r="J70" s="10"/>
      <c r="K70" s="87"/>
      <c r="L70" s="28"/>
      <c r="M70" s="63"/>
    </row>
    <row r="71" spans="1:13" ht="15.75" x14ac:dyDescent="0.3">
      <c r="A71" s="62"/>
      <c r="B71" s="10"/>
      <c r="C71" s="10"/>
      <c r="D71" s="9"/>
      <c r="E71" s="10"/>
      <c r="F71" s="7" t="s">
        <v>146</v>
      </c>
      <c r="G71" s="7"/>
      <c r="H71" s="89" t="s">
        <v>151</v>
      </c>
      <c r="I71" s="103">
        <v>2</v>
      </c>
      <c r="J71" s="41">
        <v>1466.67</v>
      </c>
      <c r="K71" s="84">
        <f>$J$71*$I$71</f>
        <v>2933.34</v>
      </c>
      <c r="L71" s="8"/>
      <c r="M71" s="63"/>
    </row>
    <row r="72" spans="1:13" ht="15.75" x14ac:dyDescent="0.3">
      <c r="A72" s="62"/>
      <c r="B72" s="10"/>
      <c r="C72" s="10"/>
      <c r="D72" s="9"/>
      <c r="E72" s="10"/>
      <c r="F72" s="5" t="s">
        <v>147</v>
      </c>
      <c r="G72" s="7"/>
      <c r="H72" s="92" t="s">
        <v>151</v>
      </c>
      <c r="I72" s="36">
        <v>2</v>
      </c>
      <c r="J72" s="41">
        <v>2933.33</v>
      </c>
      <c r="K72" s="84">
        <f>$J$72*$I$72</f>
        <v>5866.66</v>
      </c>
      <c r="L72" s="8"/>
      <c r="M72" s="63"/>
    </row>
    <row r="73" spans="1:13" ht="15.75" x14ac:dyDescent="0.3">
      <c r="A73" s="62"/>
      <c r="B73" s="10"/>
      <c r="C73" s="10"/>
      <c r="D73" s="9"/>
      <c r="E73" s="10"/>
      <c r="F73" s="111" t="s">
        <v>148</v>
      </c>
      <c r="G73" s="111"/>
      <c r="H73" s="92" t="s">
        <v>94</v>
      </c>
      <c r="I73" s="37">
        <v>1</v>
      </c>
      <c r="J73" s="40">
        <v>20</v>
      </c>
      <c r="K73" s="84">
        <f>$J$73*$I$73</f>
        <v>20</v>
      </c>
      <c r="L73" s="26"/>
      <c r="M73" s="63"/>
    </row>
    <row r="74" spans="1:13" ht="15.75" x14ac:dyDescent="0.3">
      <c r="A74" s="62"/>
      <c r="B74" s="10"/>
      <c r="C74" s="10"/>
      <c r="D74" s="9"/>
      <c r="E74" s="10"/>
      <c r="F74" s="111" t="s">
        <v>149</v>
      </c>
      <c r="G74" s="111"/>
      <c r="H74" s="92" t="s">
        <v>94</v>
      </c>
      <c r="I74" s="37">
        <f>$L$12</f>
        <v>195</v>
      </c>
      <c r="J74" s="40">
        <v>20</v>
      </c>
      <c r="K74" s="84">
        <f>$J$74*$I$74</f>
        <v>3900</v>
      </c>
      <c r="L74" s="26"/>
      <c r="M74" s="63"/>
    </row>
    <row r="75" spans="1:13" ht="15.75" x14ac:dyDescent="0.3">
      <c r="A75" s="62"/>
      <c r="B75" s="10"/>
      <c r="C75" s="10"/>
      <c r="D75" s="9"/>
      <c r="E75" s="10"/>
      <c r="F75" s="111" t="s">
        <v>150</v>
      </c>
      <c r="G75" s="111"/>
      <c r="H75" s="92" t="s">
        <v>94</v>
      </c>
      <c r="I75" s="37">
        <f>$L$12</f>
        <v>195</v>
      </c>
      <c r="J75" s="40">
        <v>20</v>
      </c>
      <c r="K75" s="84">
        <f>$J$75*$I$75</f>
        <v>3900</v>
      </c>
      <c r="L75" s="26"/>
      <c r="M75" s="63"/>
    </row>
    <row r="76" spans="1:13" ht="7.5" customHeight="1" x14ac:dyDescent="0.3">
      <c r="A76" s="53"/>
      <c r="B76" s="5"/>
      <c r="C76" s="5"/>
      <c r="D76" s="4"/>
      <c r="E76" s="5"/>
      <c r="F76" s="120"/>
      <c r="G76" s="120"/>
      <c r="H76" s="89"/>
      <c r="I76" s="119"/>
      <c r="J76" s="41"/>
      <c r="K76" s="109"/>
      <c r="L76" s="8"/>
      <c r="M76" s="72"/>
    </row>
  </sheetData>
  <mergeCells count="15">
    <mergeCell ref="B18:D18"/>
    <mergeCell ref="E18:G18"/>
    <mergeCell ref="B19:L19"/>
    <mergeCell ref="F53:G54"/>
    <mergeCell ref="H53:H54"/>
    <mergeCell ref="I53:I54"/>
    <mergeCell ref="J53:J54"/>
    <mergeCell ref="K53:K54"/>
    <mergeCell ref="L53:L54"/>
    <mergeCell ref="L59:L60"/>
    <mergeCell ref="F59:G60"/>
    <mergeCell ref="H59:H60"/>
    <mergeCell ref="I59:I60"/>
    <mergeCell ref="J59:J60"/>
    <mergeCell ref="K59:K60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Normal="100" workbookViewId="0">
      <selection activeCell="A2" sqref="A2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6.42578125" bestFit="1" customWidth="1"/>
    <col min="4" max="4" width="6.5703125" customWidth="1"/>
    <col min="5" max="5" width="4.5703125" customWidth="1"/>
    <col min="6" max="6" width="15.5703125" customWidth="1"/>
    <col min="7" max="7" width="10" customWidth="1"/>
    <col min="9" max="9" width="18" bestFit="1" customWidth="1"/>
    <col min="10" max="10" width="14.85546875" customWidth="1"/>
    <col min="11" max="11" width="19.85546875" bestFit="1" customWidth="1"/>
    <col min="12" max="12" width="2.85546875" customWidth="1"/>
    <col min="14" max="14" width="17.7109375" style="160" bestFit="1" customWidth="1"/>
    <col min="16" max="16" width="14.85546875" bestFit="1" customWidth="1"/>
    <col min="18" max="18" width="13.85546875" bestFit="1" customWidth="1"/>
  </cols>
  <sheetData>
    <row r="1" spans="1:14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61"/>
    </row>
    <row r="2" spans="1:14" ht="15.75" x14ac:dyDescent="0.3">
      <c r="A2" s="62"/>
      <c r="B2" s="14"/>
      <c r="C2" s="14"/>
      <c r="D2" s="14"/>
      <c r="E2" s="15"/>
      <c r="F2" s="16"/>
      <c r="G2" s="16"/>
      <c r="H2" s="17"/>
      <c r="I2" s="17"/>
      <c r="J2" s="17"/>
      <c r="K2" s="17"/>
      <c r="L2" s="63"/>
    </row>
    <row r="3" spans="1:14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63"/>
      <c r="N3" s="161"/>
    </row>
    <row r="4" spans="1:14" s="1" customFormat="1" ht="7.5" customHeight="1" x14ac:dyDescent="0.3">
      <c r="A4" s="62"/>
      <c r="B4" s="50"/>
      <c r="C4" s="19"/>
      <c r="D4" s="19"/>
      <c r="E4" s="19"/>
      <c r="F4" s="19"/>
      <c r="G4" s="19"/>
      <c r="H4" s="19"/>
      <c r="I4" s="19"/>
      <c r="J4" s="19"/>
      <c r="K4" s="61"/>
      <c r="L4" s="63"/>
      <c r="N4" s="161"/>
    </row>
    <row r="5" spans="1:14" s="1" customFormat="1" ht="15.75" x14ac:dyDescent="0.3">
      <c r="A5" s="62"/>
      <c r="B5" s="62"/>
      <c r="C5" s="10" t="s">
        <v>100</v>
      </c>
      <c r="D5" s="10"/>
      <c r="E5" s="3"/>
      <c r="F5" s="10"/>
      <c r="G5" s="10"/>
      <c r="H5" s="10"/>
      <c r="I5" s="105" t="s">
        <v>3</v>
      </c>
      <c r="J5" s="117">
        <f>'01 - Terreno - Datos'!$K$24</f>
        <v>12300</v>
      </c>
      <c r="K5" s="63"/>
      <c r="L5" s="63"/>
      <c r="N5" s="161"/>
    </row>
    <row r="6" spans="1:14" s="1" customFormat="1" ht="15.75" x14ac:dyDescent="0.3">
      <c r="A6" s="62"/>
      <c r="B6" s="62"/>
      <c r="C6" s="10" t="s">
        <v>268</v>
      </c>
      <c r="D6" s="10"/>
      <c r="E6" s="3"/>
      <c r="F6" s="10"/>
      <c r="G6" s="10"/>
      <c r="H6" s="10"/>
      <c r="I6" s="105" t="s">
        <v>164</v>
      </c>
      <c r="J6" s="128">
        <f>J7/1.18</f>
        <v>369.17796610169495</v>
      </c>
      <c r="K6" s="63"/>
      <c r="L6" s="63"/>
      <c r="N6" s="161"/>
    </row>
    <row r="7" spans="1:14" s="1" customFormat="1" ht="15.75" x14ac:dyDescent="0.3">
      <c r="A7" s="62"/>
      <c r="B7" s="62"/>
      <c r="C7" s="10" t="s">
        <v>269</v>
      </c>
      <c r="D7" s="10"/>
      <c r="E7" s="3"/>
      <c r="F7" s="10"/>
      <c r="G7" s="10"/>
      <c r="H7" s="10"/>
      <c r="I7" s="105" t="s">
        <v>164</v>
      </c>
      <c r="J7" s="128">
        <v>435.63</v>
      </c>
      <c r="K7" s="63"/>
      <c r="L7" s="63"/>
      <c r="N7" s="161"/>
    </row>
    <row r="8" spans="1:14" s="1" customFormat="1" ht="7.5" customHeight="1" x14ac:dyDescent="0.3">
      <c r="A8" s="62"/>
      <c r="B8" s="53"/>
      <c r="C8" s="5"/>
      <c r="D8" s="5"/>
      <c r="E8" s="5"/>
      <c r="F8" s="5"/>
      <c r="G8" s="5"/>
      <c r="H8" s="5"/>
      <c r="I8" s="5"/>
      <c r="J8" s="5"/>
      <c r="K8" s="72"/>
      <c r="L8" s="63"/>
      <c r="N8" s="161"/>
    </row>
    <row r="9" spans="1:14" s="1" customFormat="1" ht="7.5" customHeight="1" x14ac:dyDescent="0.3">
      <c r="A9" s="62"/>
      <c r="B9" s="10"/>
      <c r="C9" s="10"/>
      <c r="D9" s="10"/>
      <c r="E9" s="10"/>
      <c r="F9" s="10"/>
      <c r="G9" s="10"/>
      <c r="H9" s="10"/>
      <c r="I9" s="10"/>
      <c r="J9" s="10"/>
      <c r="K9" s="10"/>
      <c r="L9" s="63"/>
      <c r="N9" s="161"/>
    </row>
    <row r="10" spans="1:14" ht="15.75" x14ac:dyDescent="0.3">
      <c r="A10" s="62"/>
      <c r="B10" s="224" t="s">
        <v>26</v>
      </c>
      <c r="C10" s="224"/>
      <c r="D10" s="224"/>
      <c r="E10" s="221" t="s">
        <v>27</v>
      </c>
      <c r="F10" s="221"/>
      <c r="G10" s="221"/>
      <c r="H10" s="102" t="s">
        <v>4</v>
      </c>
      <c r="I10" s="102" t="s">
        <v>165</v>
      </c>
      <c r="J10" s="102" t="s">
        <v>32</v>
      </c>
      <c r="K10" s="96" t="s">
        <v>8</v>
      </c>
      <c r="L10" s="63"/>
    </row>
    <row r="11" spans="1:14" ht="7.5" customHeight="1" x14ac:dyDescent="0.3">
      <c r="A11" s="62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63"/>
    </row>
    <row r="12" spans="1:14" ht="15.75" x14ac:dyDescent="0.3">
      <c r="A12" s="62"/>
      <c r="B12" s="114">
        <v>6</v>
      </c>
      <c r="C12" s="15" t="s">
        <v>152</v>
      </c>
      <c r="D12" s="14"/>
      <c r="E12" s="15"/>
      <c r="F12" s="16"/>
      <c r="G12" s="16"/>
      <c r="H12" s="17"/>
      <c r="I12" s="17"/>
      <c r="J12" s="17"/>
      <c r="K12" s="85">
        <f>$K$48</f>
        <v>5358249</v>
      </c>
      <c r="L12" s="63"/>
    </row>
    <row r="13" spans="1:14" ht="7.5" customHeight="1" x14ac:dyDescent="0.3">
      <c r="A13" s="62"/>
      <c r="B13" s="9"/>
      <c r="C13" s="9"/>
      <c r="D13" s="9"/>
      <c r="E13" s="10"/>
      <c r="F13" s="10"/>
      <c r="G13" s="10"/>
      <c r="H13" s="28"/>
      <c r="I13" s="28"/>
      <c r="J13" s="28"/>
      <c r="K13" s="28"/>
      <c r="L13" s="63"/>
    </row>
    <row r="14" spans="1:14" ht="15.75" x14ac:dyDescent="0.3">
      <c r="A14" s="62"/>
      <c r="B14" s="9"/>
      <c r="C14" s="65">
        <v>6.1</v>
      </c>
      <c r="D14" s="67" t="s">
        <v>153</v>
      </c>
      <c r="E14" s="67"/>
      <c r="F14" s="29"/>
      <c r="G14" s="29"/>
      <c r="H14" s="68"/>
      <c r="I14" s="68"/>
      <c r="J14" s="68"/>
      <c r="K14" s="68"/>
      <c r="L14" s="63"/>
      <c r="N14" s="162" t="s">
        <v>267</v>
      </c>
    </row>
    <row r="15" spans="1:14" ht="7.5" customHeight="1" x14ac:dyDescent="0.3">
      <c r="A15" s="62"/>
      <c r="B15" s="9"/>
      <c r="C15" s="9"/>
      <c r="D15" s="9"/>
      <c r="E15" s="10"/>
      <c r="F15" s="10"/>
      <c r="G15" s="10"/>
      <c r="H15" s="28"/>
      <c r="I15" s="28"/>
      <c r="J15" s="28"/>
      <c r="K15" s="28"/>
      <c r="L15" s="63"/>
      <c r="N15" s="163"/>
    </row>
    <row r="16" spans="1:14" ht="15.75" x14ac:dyDescent="0.3">
      <c r="A16" s="62"/>
      <c r="B16" s="9"/>
      <c r="C16" s="10"/>
      <c r="D16" s="113">
        <v>6.11</v>
      </c>
      <c r="E16" s="31" t="s">
        <v>156</v>
      </c>
      <c r="F16" s="31"/>
      <c r="G16" s="32"/>
      <c r="H16" s="13"/>
      <c r="I16" s="13"/>
      <c r="J16" s="13"/>
      <c r="K16" s="13"/>
      <c r="L16" s="63"/>
      <c r="N16" s="164" t="s">
        <v>266</v>
      </c>
    </row>
    <row r="17" spans="1:18" ht="7.5" customHeight="1" x14ac:dyDescent="0.3">
      <c r="A17" s="62"/>
      <c r="B17" s="9"/>
      <c r="C17" s="9"/>
      <c r="D17" s="9"/>
      <c r="E17" s="10"/>
      <c r="F17" s="77"/>
      <c r="G17" s="10"/>
      <c r="H17" s="10"/>
      <c r="I17" s="10"/>
      <c r="J17" s="87"/>
      <c r="K17" s="28"/>
      <c r="L17" s="63"/>
      <c r="N17" s="164"/>
    </row>
    <row r="18" spans="1:18" ht="15.75" x14ac:dyDescent="0.3">
      <c r="A18" s="62"/>
      <c r="B18" s="9"/>
      <c r="C18" s="9"/>
      <c r="D18" s="9"/>
      <c r="E18" s="10"/>
      <c r="F18" s="94"/>
      <c r="G18" s="7"/>
      <c r="H18" s="89" t="s">
        <v>160</v>
      </c>
      <c r="I18" s="86">
        <f>($J$7*$J18)</f>
        <v>117.14090699999998</v>
      </c>
      <c r="J18" s="125">
        <v>0.26889999999999997</v>
      </c>
      <c r="K18" s="97">
        <f>($J$6*$J$5)*$J18</f>
        <v>1221045.0475423727</v>
      </c>
      <c r="L18" s="63"/>
      <c r="M18" s="126"/>
      <c r="N18" s="164">
        <f>($J$5*$J$7)*J18</f>
        <v>1440833.1560999998</v>
      </c>
      <c r="P18" s="126"/>
    </row>
    <row r="19" spans="1:18" ht="7.5" customHeight="1" x14ac:dyDescent="0.3">
      <c r="A19" s="62"/>
      <c r="B19" s="9"/>
      <c r="C19" s="9"/>
      <c r="D19" s="9"/>
      <c r="E19" s="10"/>
      <c r="F19" s="10"/>
      <c r="G19" s="10"/>
      <c r="H19" s="28"/>
      <c r="I19" s="55"/>
      <c r="J19" s="76"/>
      <c r="K19" s="28"/>
      <c r="L19" s="63"/>
      <c r="N19" s="165"/>
    </row>
    <row r="20" spans="1:18" ht="15.75" x14ac:dyDescent="0.3">
      <c r="A20" s="62"/>
      <c r="B20" s="10"/>
      <c r="C20" s="10"/>
      <c r="D20" s="113">
        <v>6.12</v>
      </c>
      <c r="E20" s="31" t="s">
        <v>155</v>
      </c>
      <c r="F20" s="32"/>
      <c r="G20" s="32"/>
      <c r="H20" s="13"/>
      <c r="I20" s="13"/>
      <c r="J20" s="13"/>
      <c r="K20" s="13"/>
      <c r="L20" s="63"/>
      <c r="N20" s="166"/>
      <c r="P20" s="126"/>
      <c r="R20" s="126"/>
    </row>
    <row r="21" spans="1:18" ht="7.5" customHeight="1" x14ac:dyDescent="0.3">
      <c r="A21" s="62"/>
      <c r="B21" s="9"/>
      <c r="C21" s="9"/>
      <c r="D21" s="9"/>
      <c r="E21" s="10"/>
      <c r="F21" s="77"/>
      <c r="G21" s="10"/>
      <c r="H21" s="10"/>
      <c r="I21" s="10"/>
      <c r="J21" s="87"/>
      <c r="K21" s="28"/>
      <c r="L21" s="63"/>
      <c r="N21" s="167"/>
    </row>
    <row r="22" spans="1:18" ht="15.75" x14ac:dyDescent="0.3">
      <c r="A22" s="62"/>
      <c r="B22" s="9"/>
      <c r="C22" s="9"/>
      <c r="D22" s="9"/>
      <c r="E22" s="10"/>
      <c r="F22" s="94"/>
      <c r="G22" s="7"/>
      <c r="H22" s="89" t="s">
        <v>160</v>
      </c>
      <c r="I22" s="86">
        <f>($J$7*$J$22)</f>
        <v>229.31563199999999</v>
      </c>
      <c r="J22" s="125">
        <v>0.52639999999999998</v>
      </c>
      <c r="K22" s="97">
        <f>($J$6*$J$5)*$J22</f>
        <v>2390323.960677966</v>
      </c>
      <c r="L22" s="63"/>
      <c r="M22" s="126"/>
      <c r="N22" s="164">
        <f>($J$5*$J$7)*J22</f>
        <v>2820582.2736</v>
      </c>
      <c r="P22" s="126"/>
    </row>
    <row r="23" spans="1:18" ht="7.5" customHeight="1" x14ac:dyDescent="0.3">
      <c r="A23" s="62"/>
      <c r="B23" s="9"/>
      <c r="C23" s="9"/>
      <c r="D23" s="9"/>
      <c r="E23" s="10"/>
      <c r="F23" s="10"/>
      <c r="G23" s="10"/>
      <c r="H23" s="28"/>
      <c r="I23" s="55"/>
      <c r="J23" s="76"/>
      <c r="K23" s="28"/>
      <c r="L23" s="63"/>
      <c r="N23" s="167"/>
    </row>
    <row r="24" spans="1:18" ht="15.75" x14ac:dyDescent="0.3">
      <c r="A24" s="62"/>
      <c r="B24" s="10"/>
      <c r="C24" s="10"/>
      <c r="D24" s="113">
        <v>6.13</v>
      </c>
      <c r="E24" s="31" t="s">
        <v>157</v>
      </c>
      <c r="F24" s="32"/>
      <c r="G24" s="32"/>
      <c r="H24" s="13"/>
      <c r="I24" s="13"/>
      <c r="J24" s="13"/>
      <c r="K24" s="13"/>
      <c r="L24" s="63"/>
      <c r="N24" s="168"/>
      <c r="P24" s="126"/>
    </row>
    <row r="25" spans="1:18" ht="7.5" customHeight="1" x14ac:dyDescent="0.3">
      <c r="A25" s="62"/>
      <c r="B25" s="9"/>
      <c r="C25" s="9"/>
      <c r="D25" s="9"/>
      <c r="E25" s="10"/>
      <c r="F25" s="77"/>
      <c r="G25" s="10"/>
      <c r="H25" s="10"/>
      <c r="I25" s="10"/>
      <c r="J25" s="87"/>
      <c r="K25" s="28"/>
      <c r="L25" s="63"/>
      <c r="N25" s="167"/>
    </row>
    <row r="26" spans="1:18" ht="15.75" x14ac:dyDescent="0.3">
      <c r="A26" s="62"/>
      <c r="B26" s="9"/>
      <c r="C26" s="9"/>
      <c r="D26" s="9"/>
      <c r="E26" s="10"/>
      <c r="F26" s="94"/>
      <c r="G26" s="7"/>
      <c r="H26" s="89" t="s">
        <v>160</v>
      </c>
      <c r="I26" s="86">
        <f>($J$7*$J$26)</f>
        <v>17.599451999999999</v>
      </c>
      <c r="J26" s="125">
        <v>4.0399999999999998E-2</v>
      </c>
      <c r="K26" s="97">
        <f>($J$6*$J$5)*$J26</f>
        <v>183451.91491525422</v>
      </c>
      <c r="L26" s="63"/>
      <c r="M26" s="126"/>
      <c r="N26" s="164">
        <f>($J$5*$J$7)*J26</f>
        <v>216473.25959999999</v>
      </c>
      <c r="O26" s="127"/>
    </row>
    <row r="27" spans="1:18" ht="7.5" customHeight="1" x14ac:dyDescent="0.3">
      <c r="A27" s="62"/>
      <c r="B27" s="9"/>
      <c r="C27" s="9"/>
      <c r="D27" s="9"/>
      <c r="E27" s="10"/>
      <c r="F27" s="10"/>
      <c r="G27" s="10"/>
      <c r="H27" s="28"/>
      <c r="I27" s="55"/>
      <c r="J27" s="76"/>
      <c r="K27" s="28"/>
      <c r="L27" s="63"/>
      <c r="N27" s="167"/>
      <c r="O27" s="127"/>
    </row>
    <row r="28" spans="1:18" ht="15.75" x14ac:dyDescent="0.3">
      <c r="A28" s="62"/>
      <c r="B28" s="10"/>
      <c r="C28" s="10"/>
      <c r="D28" s="113">
        <v>6.14</v>
      </c>
      <c r="E28" s="31" t="s">
        <v>158</v>
      </c>
      <c r="F28" s="32"/>
      <c r="G28" s="32"/>
      <c r="H28" s="13"/>
      <c r="I28" s="13"/>
      <c r="J28" s="13"/>
      <c r="K28" s="13"/>
      <c r="L28" s="63"/>
      <c r="N28" s="169"/>
      <c r="O28" s="127"/>
      <c r="P28" s="126"/>
    </row>
    <row r="29" spans="1:18" ht="7.5" customHeight="1" x14ac:dyDescent="0.3">
      <c r="A29" s="62"/>
      <c r="B29" s="9"/>
      <c r="C29" s="9"/>
      <c r="D29" s="9"/>
      <c r="E29" s="10"/>
      <c r="F29" s="77"/>
      <c r="G29" s="10"/>
      <c r="H29" s="10"/>
      <c r="I29" s="10"/>
      <c r="J29" s="87"/>
      <c r="K29" s="28"/>
      <c r="L29" s="63"/>
      <c r="N29" s="167"/>
      <c r="O29" s="127"/>
    </row>
    <row r="30" spans="1:18" ht="15.75" x14ac:dyDescent="0.3">
      <c r="A30" s="62"/>
      <c r="B30" s="9"/>
      <c r="C30" s="9"/>
      <c r="D30" s="9"/>
      <c r="E30" s="10"/>
      <c r="F30" s="94"/>
      <c r="G30" s="7"/>
      <c r="H30" s="89" t="s">
        <v>160</v>
      </c>
      <c r="I30" s="86">
        <f>($J$7*$J$30)</f>
        <v>19.777602000000002</v>
      </c>
      <c r="J30" s="125">
        <v>4.5400000000000003E-2</v>
      </c>
      <c r="K30" s="97">
        <f>($J$6*$J$5)*$J30</f>
        <v>206156.35983050847</v>
      </c>
      <c r="L30" s="63"/>
      <c r="M30" s="126"/>
      <c r="N30" s="164">
        <f>($J$5*$J$7)*J30</f>
        <v>243264.50460000001</v>
      </c>
      <c r="O30" s="127"/>
    </row>
    <row r="31" spans="1:18" ht="7.5" customHeight="1" x14ac:dyDescent="0.3">
      <c r="A31" s="62"/>
      <c r="B31" s="9"/>
      <c r="C31" s="9"/>
      <c r="D31" s="9"/>
      <c r="E31" s="10"/>
      <c r="F31" s="10"/>
      <c r="G31" s="10"/>
      <c r="H31" s="28"/>
      <c r="I31" s="55"/>
      <c r="J31" s="76"/>
      <c r="K31" s="28"/>
      <c r="L31" s="63"/>
      <c r="N31" s="167"/>
      <c r="O31" s="127"/>
    </row>
    <row r="32" spans="1:18" ht="15.75" x14ac:dyDescent="0.3">
      <c r="A32" s="62"/>
      <c r="B32" s="10"/>
      <c r="C32" s="10"/>
      <c r="D32" s="113">
        <v>6.15</v>
      </c>
      <c r="E32" s="31" t="s">
        <v>159</v>
      </c>
      <c r="F32" s="32"/>
      <c r="G32" s="32"/>
      <c r="H32" s="13"/>
      <c r="I32" s="13"/>
      <c r="J32" s="13"/>
      <c r="K32" s="13"/>
      <c r="L32" s="63"/>
      <c r="N32" s="170"/>
      <c r="O32" s="127"/>
    </row>
    <row r="33" spans="1:16" ht="7.5" customHeight="1" x14ac:dyDescent="0.3">
      <c r="A33" s="62"/>
      <c r="B33" s="9"/>
      <c r="C33" s="9"/>
      <c r="D33" s="9"/>
      <c r="E33" s="10"/>
      <c r="F33" s="77"/>
      <c r="G33" s="10"/>
      <c r="H33" s="10"/>
      <c r="I33" s="10"/>
      <c r="J33" s="87"/>
      <c r="K33" s="28"/>
      <c r="L33" s="63"/>
      <c r="N33" s="167"/>
      <c r="O33" s="127"/>
    </row>
    <row r="34" spans="1:16" ht="15.75" x14ac:dyDescent="0.3">
      <c r="A34" s="62"/>
      <c r="B34" s="9"/>
      <c r="C34" s="9"/>
      <c r="D34" s="9"/>
      <c r="E34" s="10"/>
      <c r="F34" s="94"/>
      <c r="G34" s="7"/>
      <c r="H34" s="89" t="s">
        <v>160</v>
      </c>
      <c r="I34" s="86">
        <f>($J$7*$J$34)</f>
        <v>2.8315949999999996</v>
      </c>
      <c r="J34" s="125">
        <v>6.4999999999999997E-3</v>
      </c>
      <c r="K34" s="97">
        <f>($J$6*$J$5)*$J34</f>
        <v>29515.778389830506</v>
      </c>
      <c r="L34" s="63"/>
      <c r="M34" s="126"/>
      <c r="N34" s="164">
        <f>($J$5*$J$7)*J34</f>
        <v>34828.618499999997</v>
      </c>
    </row>
    <row r="35" spans="1:16" ht="7.5" customHeight="1" x14ac:dyDescent="0.3">
      <c r="A35" s="62"/>
      <c r="B35" s="9"/>
      <c r="C35" s="9"/>
      <c r="D35" s="9"/>
      <c r="E35" s="10"/>
      <c r="F35" s="10"/>
      <c r="G35" s="10"/>
      <c r="H35" s="28"/>
      <c r="I35" s="55"/>
      <c r="J35" s="76"/>
      <c r="K35" s="28"/>
      <c r="L35" s="63"/>
      <c r="N35" s="167"/>
    </row>
    <row r="36" spans="1:16" ht="15.75" x14ac:dyDescent="0.3">
      <c r="A36" s="62"/>
      <c r="B36" s="10"/>
      <c r="C36" s="10"/>
      <c r="D36" s="113">
        <v>6.16</v>
      </c>
      <c r="E36" s="31" t="s">
        <v>161</v>
      </c>
      <c r="F36" s="32"/>
      <c r="G36" s="32"/>
      <c r="H36" s="13"/>
      <c r="I36" s="13"/>
      <c r="J36" s="13"/>
      <c r="K36" s="13"/>
      <c r="L36" s="63"/>
      <c r="N36" s="167"/>
    </row>
    <row r="37" spans="1:16" ht="7.5" customHeight="1" x14ac:dyDescent="0.3">
      <c r="A37" s="62"/>
      <c r="B37" s="10"/>
      <c r="C37" s="10"/>
      <c r="D37" s="9"/>
      <c r="E37" s="10"/>
      <c r="F37" s="77"/>
      <c r="G37" s="10"/>
      <c r="H37" s="10"/>
      <c r="I37" s="10"/>
      <c r="J37" s="87"/>
      <c r="K37" s="28"/>
      <c r="L37" s="63"/>
      <c r="N37" s="167"/>
    </row>
    <row r="38" spans="1:16" ht="15.75" x14ac:dyDescent="0.3">
      <c r="A38" s="62"/>
      <c r="B38" s="10"/>
      <c r="C38" s="10"/>
      <c r="D38" s="9"/>
      <c r="E38" s="10"/>
      <c r="F38" s="7"/>
      <c r="G38" s="7"/>
      <c r="H38" s="89" t="s">
        <v>160</v>
      </c>
      <c r="I38" s="86">
        <f>($J$7*$J$38)</f>
        <v>11.152128000000001</v>
      </c>
      <c r="J38" s="125">
        <v>2.5600000000000001E-2</v>
      </c>
      <c r="K38" s="97">
        <f>($J$6*$J$5)*$J38</f>
        <v>116246.75796610169</v>
      </c>
      <c r="L38" s="63"/>
      <c r="M38" s="126"/>
      <c r="N38" s="164">
        <f>($J$5*$J$7)*J38</f>
        <v>137171.17440000002</v>
      </c>
      <c r="O38" s="126"/>
      <c r="P38" s="126"/>
    </row>
    <row r="39" spans="1:16" ht="7.5" customHeight="1" x14ac:dyDescent="0.3">
      <c r="A39" s="62"/>
      <c r="B39" s="10"/>
      <c r="C39" s="10"/>
      <c r="D39" s="9"/>
      <c r="E39" s="10"/>
      <c r="F39" s="116"/>
      <c r="G39" s="116"/>
      <c r="H39" s="105"/>
      <c r="I39" s="55"/>
      <c r="J39" s="110"/>
      <c r="K39" s="28"/>
      <c r="L39" s="63"/>
      <c r="N39" s="167"/>
      <c r="O39" s="126"/>
    </row>
    <row r="40" spans="1:16" ht="15.75" x14ac:dyDescent="0.3">
      <c r="A40" s="62"/>
      <c r="B40" s="10"/>
      <c r="C40" s="10"/>
      <c r="D40" s="113">
        <v>6.17</v>
      </c>
      <c r="E40" s="31" t="s">
        <v>162</v>
      </c>
      <c r="F40" s="32"/>
      <c r="G40" s="32"/>
      <c r="H40" s="13"/>
      <c r="I40" s="13"/>
      <c r="J40" s="13"/>
      <c r="K40" s="13"/>
      <c r="L40" s="63"/>
      <c r="N40" s="167"/>
    </row>
    <row r="41" spans="1:16" ht="7.5" customHeight="1" x14ac:dyDescent="0.3">
      <c r="A41" s="62"/>
      <c r="B41" s="10"/>
      <c r="C41" s="10"/>
      <c r="D41" s="9"/>
      <c r="E41" s="10"/>
      <c r="F41" s="77"/>
      <c r="G41" s="10"/>
      <c r="H41" s="10"/>
      <c r="I41" s="10"/>
      <c r="J41" s="87"/>
      <c r="K41" s="28"/>
      <c r="L41" s="63"/>
      <c r="N41" s="167"/>
    </row>
    <row r="42" spans="1:16" ht="15.75" x14ac:dyDescent="0.3">
      <c r="A42" s="62"/>
      <c r="B42" s="10"/>
      <c r="C42" s="10"/>
      <c r="D42" s="9"/>
      <c r="E42" s="10"/>
      <c r="F42" s="7"/>
      <c r="G42" s="7"/>
      <c r="H42" s="89" t="s">
        <v>160</v>
      </c>
      <c r="I42" s="86">
        <f>($J$7*$J$42)</f>
        <v>37.812683999999997</v>
      </c>
      <c r="J42" s="125">
        <v>8.6800000000000002E-2</v>
      </c>
      <c r="K42" s="97">
        <f>($J$6*$J$5)*$J42</f>
        <v>394149.16372881358</v>
      </c>
      <c r="L42" s="63"/>
      <c r="M42" s="126"/>
      <c r="N42" s="164">
        <f>($J$5*$J$7)*J42</f>
        <v>465096.01319999999</v>
      </c>
    </row>
    <row r="43" spans="1:16" ht="7.5" customHeight="1" x14ac:dyDescent="0.3">
      <c r="A43" s="62"/>
      <c r="B43" s="10"/>
      <c r="C43" s="10"/>
      <c r="D43" s="9"/>
      <c r="E43" s="10"/>
      <c r="F43" s="116"/>
      <c r="G43" s="116"/>
      <c r="H43" s="105"/>
      <c r="I43" s="55"/>
      <c r="J43" s="110"/>
      <c r="K43" s="28"/>
      <c r="L43" s="63"/>
      <c r="N43" s="167"/>
    </row>
    <row r="44" spans="1:16" ht="15.75" x14ac:dyDescent="0.3">
      <c r="A44" s="62"/>
      <c r="B44" s="9"/>
      <c r="C44" s="65">
        <v>6.2</v>
      </c>
      <c r="D44" s="67" t="s">
        <v>166</v>
      </c>
      <c r="E44" s="67"/>
      <c r="F44" s="29"/>
      <c r="G44" s="29"/>
      <c r="H44" s="68"/>
      <c r="I44" s="68"/>
      <c r="J44" s="68"/>
      <c r="K44" s="68"/>
      <c r="L44" s="63"/>
      <c r="N44" s="170"/>
    </row>
    <row r="45" spans="1:16" ht="7.5" customHeight="1" x14ac:dyDescent="0.3">
      <c r="A45" s="62"/>
      <c r="B45" s="10"/>
      <c r="C45" s="10"/>
      <c r="D45" s="9"/>
      <c r="E45" s="10"/>
      <c r="F45" s="10"/>
      <c r="G45" s="10"/>
      <c r="H45" s="105"/>
      <c r="I45" s="117"/>
      <c r="J45" s="87"/>
      <c r="K45" s="28"/>
      <c r="L45" s="63"/>
      <c r="N45" s="163"/>
    </row>
    <row r="46" spans="1:16" ht="15.75" x14ac:dyDescent="0.3">
      <c r="A46" s="62"/>
      <c r="B46" s="10"/>
      <c r="C46" s="10"/>
      <c r="D46" s="9"/>
      <c r="E46" s="10"/>
      <c r="F46" s="120" t="s">
        <v>152</v>
      </c>
      <c r="G46" s="120"/>
      <c r="H46" s="89"/>
      <c r="I46" s="129"/>
      <c r="J46" s="79"/>
      <c r="K46" s="97">
        <f>SUM(K18:K42)</f>
        <v>4540888.9830508474</v>
      </c>
      <c r="L46" s="63"/>
      <c r="N46" s="240">
        <f>SUM(N18:N42)</f>
        <v>5358249</v>
      </c>
    </row>
    <row r="47" spans="1:16" ht="15.75" x14ac:dyDescent="0.3">
      <c r="A47" s="62"/>
      <c r="B47" s="10"/>
      <c r="C47" s="10"/>
      <c r="D47" s="9"/>
      <c r="E47" s="10"/>
      <c r="F47" s="120" t="s">
        <v>163</v>
      </c>
      <c r="G47" s="120"/>
      <c r="H47" s="89"/>
      <c r="I47" s="129"/>
      <c r="J47" s="124">
        <v>0.18</v>
      </c>
      <c r="K47" s="97">
        <f>K46*J47</f>
        <v>817360.01694915246</v>
      </c>
      <c r="L47" s="63"/>
      <c r="N47" s="240"/>
      <c r="P47" s="126"/>
    </row>
    <row r="48" spans="1:16" ht="15.75" x14ac:dyDescent="0.3">
      <c r="A48" s="62"/>
      <c r="B48" s="10"/>
      <c r="C48" s="10"/>
      <c r="D48" s="9"/>
      <c r="E48" s="10"/>
      <c r="F48" s="120" t="s">
        <v>154</v>
      </c>
      <c r="G48" s="120"/>
      <c r="H48" s="89"/>
      <c r="I48" s="129"/>
      <c r="J48" s="79"/>
      <c r="K48" s="97">
        <f>SUM(K46:K47)</f>
        <v>5358249</v>
      </c>
      <c r="L48" s="63"/>
      <c r="N48" s="241"/>
    </row>
    <row r="49" spans="1:12" ht="7.5" customHeight="1" x14ac:dyDescent="0.3">
      <c r="A49" s="53"/>
      <c r="B49" s="5"/>
      <c r="C49" s="5"/>
      <c r="D49" s="4"/>
      <c r="E49" s="5"/>
      <c r="F49" s="120"/>
      <c r="G49" s="120"/>
      <c r="H49" s="89"/>
      <c r="I49" s="119"/>
      <c r="J49" s="109"/>
      <c r="K49" s="8"/>
      <c r="L49" s="72"/>
    </row>
  </sheetData>
  <mergeCells count="4">
    <mergeCell ref="B10:D10"/>
    <mergeCell ref="E10:G10"/>
    <mergeCell ref="B11:K11"/>
    <mergeCell ref="N46:N48"/>
  </mergeCells>
  <conditionalFormatting sqref="M4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{CD486135-E38C-47E0-8C79-6CE7CF6DC21A}</x14:id>
        </ext>
      </extLst>
    </cfRule>
  </conditionalFormatting>
  <conditionalFormatting sqref="M3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{81B89DA1-2C5C-4B63-863B-C69DB317652B}</x14:id>
        </ext>
      </extLst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486135-E38C-47E0-8C79-6CE7CF6DC2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M42</xm:sqref>
        </x14:conditionalFormatting>
        <x14:conditionalFormatting xmlns:xm="http://schemas.microsoft.com/office/excel/2006/main">
          <x14:cfRule type="dataBar" id="{81B89DA1-2C5C-4B63-863B-C69DB31765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M38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I20" sqref="I20"/>
    </sheetView>
  </sheetViews>
  <sheetFormatPr baseColWidth="10" defaultRowHeight="15" x14ac:dyDescent="0.25"/>
  <cols>
    <col min="1" max="1" width="2.85546875" customWidth="1"/>
    <col min="2" max="2" width="6.28515625" customWidth="1"/>
    <col min="3" max="3" width="6.42578125" bestFit="1" customWidth="1"/>
    <col min="4" max="4" width="6.5703125" customWidth="1"/>
    <col min="5" max="5" width="4.5703125" customWidth="1"/>
    <col min="6" max="6" width="11.42578125" customWidth="1"/>
    <col min="7" max="7" width="50.28515625" bestFit="1" customWidth="1"/>
    <col min="9" max="9" width="13" bestFit="1" customWidth="1"/>
    <col min="10" max="10" width="17.7109375" bestFit="1" customWidth="1"/>
    <col min="11" max="12" width="19.85546875" bestFit="1" customWidth="1"/>
    <col min="13" max="13" width="2.85546875" customWidth="1"/>
  </cols>
  <sheetData>
    <row r="1" spans="1:13" ht="7.5" customHeight="1" x14ac:dyDescent="0.3">
      <c r="A1" s="50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61"/>
    </row>
    <row r="2" spans="1:13" ht="15.75" x14ac:dyDescent="0.3">
      <c r="A2" s="62"/>
      <c r="B2" s="14"/>
      <c r="C2" s="14"/>
      <c r="D2" s="14"/>
      <c r="E2" s="15" t="s">
        <v>167</v>
      </c>
      <c r="F2" s="16"/>
      <c r="G2" s="16"/>
      <c r="H2" s="17"/>
      <c r="I2" s="17"/>
      <c r="J2" s="17"/>
      <c r="K2" s="17"/>
      <c r="L2" s="130">
        <f>SUM($J$4:$J$8)</f>
        <v>23</v>
      </c>
      <c r="M2" s="63"/>
    </row>
    <row r="3" spans="1:13" s="1" customFormat="1" ht="7.5" customHeight="1" x14ac:dyDescent="0.3">
      <c r="A3" s="6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63"/>
    </row>
    <row r="4" spans="1:13" s="1" customFormat="1" ht="15.75" x14ac:dyDescent="0.3">
      <c r="A4" s="62"/>
      <c r="B4" s="50"/>
      <c r="C4" s="19"/>
      <c r="D4" s="19"/>
      <c r="E4" s="19"/>
      <c r="F4" s="19"/>
      <c r="G4" s="19"/>
      <c r="H4" s="112"/>
      <c r="I4" s="18"/>
      <c r="J4" s="171"/>
      <c r="K4" s="19"/>
      <c r="L4" s="61"/>
      <c r="M4" s="63"/>
    </row>
    <row r="5" spans="1:13" s="1" customFormat="1" ht="15.75" x14ac:dyDescent="0.3">
      <c r="A5" s="62"/>
      <c r="B5" s="62"/>
      <c r="C5" s="10"/>
      <c r="D5" s="70" t="s">
        <v>168</v>
      </c>
      <c r="E5" s="10"/>
      <c r="F5" s="10"/>
      <c r="G5" s="10"/>
      <c r="H5" s="105"/>
      <c r="I5" s="9"/>
      <c r="J5" s="70">
        <v>3</v>
      </c>
      <c r="K5" s="10" t="s">
        <v>171</v>
      </c>
      <c r="L5" s="63"/>
      <c r="M5" s="63"/>
    </row>
    <row r="6" spans="1:13" s="1" customFormat="1" ht="15.75" x14ac:dyDescent="0.3">
      <c r="A6" s="62"/>
      <c r="B6" s="62"/>
      <c r="C6" s="10"/>
      <c r="D6" s="70" t="s">
        <v>169</v>
      </c>
      <c r="E6" s="10"/>
      <c r="F6" s="10"/>
      <c r="G6" s="10"/>
      <c r="H6" s="105"/>
      <c r="I6" s="9"/>
      <c r="J6" s="70">
        <v>18</v>
      </c>
      <c r="K6" s="10" t="s">
        <v>171</v>
      </c>
      <c r="L6" s="63"/>
      <c r="M6" s="63"/>
    </row>
    <row r="7" spans="1:13" s="1" customFormat="1" ht="15.75" x14ac:dyDescent="0.3">
      <c r="A7" s="62"/>
      <c r="B7" s="62"/>
      <c r="C7" s="10"/>
      <c r="D7" s="70" t="s">
        <v>170</v>
      </c>
      <c r="E7" s="10"/>
      <c r="F7" s="10"/>
      <c r="G7" s="10"/>
      <c r="H7" s="105"/>
      <c r="I7" s="9"/>
      <c r="J7" s="70">
        <v>2</v>
      </c>
      <c r="K7" s="10" t="s">
        <v>171</v>
      </c>
      <c r="L7" s="63"/>
      <c r="M7" s="63"/>
    </row>
    <row r="8" spans="1:13" s="1" customFormat="1" ht="15.75" x14ac:dyDescent="0.3">
      <c r="A8" s="62"/>
      <c r="B8" s="53"/>
      <c r="C8" s="5"/>
      <c r="D8" s="5"/>
      <c r="E8" s="5"/>
      <c r="F8" s="5"/>
      <c r="G8" s="5"/>
      <c r="H8" s="98"/>
      <c r="I8" s="4"/>
      <c r="J8" s="156"/>
      <c r="K8" s="5"/>
      <c r="L8" s="72"/>
      <c r="M8" s="63"/>
    </row>
    <row r="9" spans="1:13" s="1" customFormat="1" ht="7.5" customHeight="1" x14ac:dyDescent="0.3">
      <c r="A9" s="62"/>
      <c r="B9" s="19"/>
      <c r="C9" s="19"/>
      <c r="D9" s="19"/>
      <c r="E9" s="19"/>
      <c r="F9" s="19"/>
      <c r="G9" s="19"/>
      <c r="H9" s="21"/>
      <c r="I9" s="18"/>
      <c r="J9" s="19"/>
      <c r="K9" s="19"/>
      <c r="L9" s="19"/>
      <c r="M9" s="63"/>
    </row>
    <row r="10" spans="1:13" ht="15.75" x14ac:dyDescent="0.3">
      <c r="A10" s="62"/>
      <c r="B10" s="224" t="s">
        <v>26</v>
      </c>
      <c r="C10" s="224"/>
      <c r="D10" s="224"/>
      <c r="E10" s="221" t="s">
        <v>27</v>
      </c>
      <c r="F10" s="221"/>
      <c r="G10" s="221"/>
      <c r="H10" s="102" t="s">
        <v>4</v>
      </c>
      <c r="I10" s="102" t="s">
        <v>5</v>
      </c>
      <c r="J10" s="102" t="s">
        <v>6</v>
      </c>
      <c r="K10" s="102" t="s">
        <v>7</v>
      </c>
      <c r="L10" s="102" t="s">
        <v>8</v>
      </c>
      <c r="M10" s="63"/>
    </row>
    <row r="11" spans="1:13" ht="7.5" customHeight="1" x14ac:dyDescent="0.3">
      <c r="A11" s="62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63"/>
    </row>
    <row r="12" spans="1:13" ht="15.75" x14ac:dyDescent="0.3">
      <c r="A12" s="62"/>
      <c r="B12" s="114">
        <v>7</v>
      </c>
      <c r="C12" s="15" t="s">
        <v>172</v>
      </c>
      <c r="D12" s="14"/>
      <c r="E12" s="15"/>
      <c r="F12" s="16"/>
      <c r="G12" s="16"/>
      <c r="H12" s="17"/>
      <c r="I12" s="17"/>
      <c r="J12" s="17"/>
      <c r="K12" s="17"/>
      <c r="L12" s="85">
        <f>$K$14+$K$18</f>
        <v>340860</v>
      </c>
      <c r="M12" s="63"/>
    </row>
    <row r="13" spans="1:13" ht="7.5" customHeight="1" x14ac:dyDescent="0.3">
      <c r="A13" s="62"/>
      <c r="B13" s="9"/>
      <c r="C13" s="9"/>
      <c r="D13" s="9"/>
      <c r="E13" s="10"/>
      <c r="F13" s="10"/>
      <c r="G13" s="10"/>
      <c r="H13" s="28"/>
      <c r="I13" s="28"/>
      <c r="J13" s="28"/>
      <c r="K13" s="28"/>
      <c r="L13" s="28"/>
      <c r="M13" s="63"/>
    </row>
    <row r="14" spans="1:13" ht="15.75" x14ac:dyDescent="0.3">
      <c r="A14" s="62"/>
      <c r="B14" s="9"/>
      <c r="C14" s="10"/>
      <c r="D14" s="113">
        <v>7.1</v>
      </c>
      <c r="E14" s="31" t="s">
        <v>173</v>
      </c>
      <c r="F14" s="32"/>
      <c r="G14" s="32"/>
      <c r="H14" s="13"/>
      <c r="I14" s="13"/>
      <c r="J14" s="13"/>
      <c r="K14" s="85">
        <f>SUM(K16:K16)</f>
        <v>294400</v>
      </c>
      <c r="L14" s="13"/>
      <c r="M14" s="63"/>
    </row>
    <row r="15" spans="1:13" ht="7.5" customHeight="1" x14ac:dyDescent="0.3">
      <c r="A15" s="62"/>
      <c r="B15" s="9"/>
      <c r="C15" s="9"/>
      <c r="D15" s="9"/>
      <c r="E15" s="10"/>
      <c r="F15" s="77"/>
      <c r="G15" s="10"/>
      <c r="H15" s="10"/>
      <c r="I15" s="10"/>
      <c r="J15" s="10"/>
      <c r="K15" s="87"/>
      <c r="L15" s="28"/>
      <c r="M15" s="63"/>
    </row>
    <row r="16" spans="1:13" ht="15.75" x14ac:dyDescent="0.3">
      <c r="A16" s="62"/>
      <c r="B16" s="9"/>
      <c r="C16" s="9"/>
      <c r="D16" s="9"/>
      <c r="E16" s="10"/>
      <c r="F16" s="94" t="s">
        <v>174</v>
      </c>
      <c r="G16" s="7"/>
      <c r="H16" s="89" t="s">
        <v>175</v>
      </c>
      <c r="I16" s="132">
        <f>$L$2</f>
        <v>23</v>
      </c>
      <c r="J16" s="95">
        <v>12800</v>
      </c>
      <c r="K16" s="84">
        <f>($J$16*$I$16)</f>
        <v>294400</v>
      </c>
      <c r="L16" s="8"/>
      <c r="M16" s="63"/>
    </row>
    <row r="17" spans="1:13" ht="7.5" customHeight="1" x14ac:dyDescent="0.3">
      <c r="A17" s="62"/>
      <c r="B17" s="9"/>
      <c r="C17" s="9"/>
      <c r="D17" s="9"/>
      <c r="E17" s="10"/>
      <c r="F17" s="10"/>
      <c r="G17" s="10"/>
      <c r="H17" s="28"/>
      <c r="I17" s="55"/>
      <c r="J17" s="75"/>
      <c r="K17" s="76"/>
      <c r="L17" s="28"/>
      <c r="M17" s="63"/>
    </row>
    <row r="18" spans="1:13" ht="15.75" x14ac:dyDescent="0.3">
      <c r="A18" s="62"/>
      <c r="B18" s="9"/>
      <c r="C18" s="10"/>
      <c r="D18" s="113">
        <v>7.11</v>
      </c>
      <c r="E18" s="31" t="s">
        <v>176</v>
      </c>
      <c r="F18" s="32"/>
      <c r="G18" s="32"/>
      <c r="H18" s="13"/>
      <c r="I18" s="13"/>
      <c r="J18" s="13"/>
      <c r="K18" s="85">
        <f>SUM(K20:K20)</f>
        <v>46460</v>
      </c>
      <c r="L18" s="13"/>
      <c r="M18" s="63"/>
    </row>
    <row r="19" spans="1:13" ht="7.5" customHeight="1" x14ac:dyDescent="0.3">
      <c r="A19" s="62"/>
      <c r="B19" s="9"/>
      <c r="C19" s="9"/>
      <c r="D19" s="9"/>
      <c r="E19" s="10"/>
      <c r="F19" s="77"/>
      <c r="G19" s="10"/>
      <c r="H19" s="10"/>
      <c r="I19" s="10"/>
      <c r="J19" s="10"/>
      <c r="K19" s="87"/>
      <c r="L19" s="28"/>
      <c r="M19" s="63"/>
    </row>
    <row r="20" spans="1:13" ht="15.75" x14ac:dyDescent="0.3">
      <c r="A20" s="62"/>
      <c r="B20" s="9"/>
      <c r="C20" s="9"/>
      <c r="D20" s="9"/>
      <c r="E20" s="10"/>
      <c r="F20" s="7" t="s">
        <v>177</v>
      </c>
      <c r="G20" s="7"/>
      <c r="H20" s="89" t="s">
        <v>175</v>
      </c>
      <c r="I20" s="132">
        <f>$L$2</f>
        <v>23</v>
      </c>
      <c r="J20" s="95">
        <v>2020</v>
      </c>
      <c r="K20" s="84">
        <f>($J$20*$I$20)</f>
        <v>46460</v>
      </c>
      <c r="L20" s="8"/>
      <c r="M20" s="63"/>
    </row>
    <row r="21" spans="1:13" ht="7.5" customHeight="1" x14ac:dyDescent="0.3">
      <c r="A21" s="53"/>
      <c r="B21" s="4"/>
      <c r="C21" s="4"/>
      <c r="D21" s="4"/>
      <c r="E21" s="5"/>
      <c r="F21" s="33"/>
      <c r="G21" s="7"/>
      <c r="H21" s="8"/>
      <c r="I21" s="131"/>
      <c r="J21" s="97"/>
      <c r="K21" s="42"/>
      <c r="L21" s="8"/>
      <c r="M21" s="72"/>
    </row>
  </sheetData>
  <mergeCells count="3">
    <mergeCell ref="B10:D10"/>
    <mergeCell ref="E10:G10"/>
    <mergeCell ref="B11:L11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zoomScale="85" zoomScaleNormal="85" workbookViewId="0">
      <selection activeCell="I48" sqref="I48"/>
    </sheetView>
  </sheetViews>
  <sheetFormatPr baseColWidth="10" defaultRowHeight="15.75" x14ac:dyDescent="0.3"/>
  <cols>
    <col min="1" max="1" width="3" style="1" customWidth="1"/>
    <col min="2" max="3" width="6.42578125" style="1" bestFit="1" customWidth="1"/>
    <col min="4" max="4" width="6.42578125" style="1" customWidth="1"/>
    <col min="5" max="5" width="4.5703125" style="1" customWidth="1"/>
    <col min="6" max="6" width="11.42578125" style="1" customWidth="1"/>
    <col min="7" max="7" width="50.28515625" style="1" bestFit="1" customWidth="1"/>
    <col min="8" max="8" width="11.42578125" style="2"/>
    <col min="9" max="9" width="13" style="2" bestFit="1" customWidth="1"/>
    <col min="10" max="10" width="17.7109375" style="2" bestFit="1" customWidth="1"/>
    <col min="11" max="11" width="19.85546875" style="2" bestFit="1" customWidth="1"/>
    <col min="12" max="12" width="19.85546875" style="2" customWidth="1"/>
    <col min="13" max="13" width="17.7109375" style="2" bestFit="1" customWidth="1"/>
    <col min="14" max="14" width="3" style="1" customWidth="1"/>
    <col min="15" max="16384" width="11.42578125" style="1"/>
  </cols>
  <sheetData>
    <row r="1" spans="1:14" ht="7.5" customHeight="1" x14ac:dyDescent="0.3">
      <c r="A1" s="50"/>
      <c r="B1" s="19"/>
      <c r="C1" s="19"/>
      <c r="D1" s="19"/>
      <c r="E1" s="19"/>
      <c r="F1" s="19"/>
      <c r="G1" s="19"/>
      <c r="H1" s="142"/>
      <c r="I1" s="142"/>
      <c r="J1" s="142"/>
      <c r="K1" s="142"/>
      <c r="L1" s="142"/>
      <c r="M1" s="142"/>
      <c r="N1" s="61"/>
    </row>
    <row r="2" spans="1:14" customFormat="1" x14ac:dyDescent="0.3">
      <c r="A2" s="62"/>
      <c r="B2" s="14"/>
      <c r="C2" s="14"/>
      <c r="D2" s="14"/>
      <c r="E2" s="15" t="s">
        <v>182</v>
      </c>
      <c r="F2" s="16"/>
      <c r="G2" s="16"/>
      <c r="H2" s="17"/>
      <c r="I2" s="17"/>
      <c r="J2" s="17"/>
      <c r="K2" s="17"/>
      <c r="L2" s="17"/>
      <c r="M2" s="133">
        <f>SUM($J$5:$J$7)</f>
        <v>23</v>
      </c>
      <c r="N2" s="63"/>
    </row>
    <row r="3" spans="1:14" ht="7.5" customHeight="1" x14ac:dyDescent="0.3">
      <c r="A3" s="62"/>
      <c r="B3" s="19"/>
      <c r="C3" s="19"/>
      <c r="D3" s="19"/>
      <c r="E3" s="19"/>
      <c r="F3" s="19"/>
      <c r="G3" s="19"/>
      <c r="H3" s="142"/>
      <c r="I3" s="142"/>
      <c r="J3" s="142"/>
      <c r="K3" s="142"/>
      <c r="L3" s="142"/>
      <c r="M3" s="142"/>
      <c r="N3" s="63"/>
    </row>
    <row r="4" spans="1:14" ht="7.5" customHeight="1" x14ac:dyDescent="0.3">
      <c r="A4" s="62"/>
      <c r="B4" s="50"/>
      <c r="C4" s="19"/>
      <c r="D4" s="19"/>
      <c r="E4" s="19"/>
      <c r="F4" s="19"/>
      <c r="G4" s="19"/>
      <c r="H4" s="142"/>
      <c r="I4" s="142"/>
      <c r="J4" s="142"/>
      <c r="K4" s="142"/>
      <c r="L4" s="142"/>
      <c r="M4" s="51"/>
      <c r="N4" s="63"/>
    </row>
    <row r="5" spans="1:14" x14ac:dyDescent="0.3">
      <c r="A5" s="62"/>
      <c r="B5" s="62"/>
      <c r="C5" s="10"/>
      <c r="D5" s="10"/>
      <c r="E5" s="10" t="s">
        <v>179</v>
      </c>
      <c r="F5" s="10"/>
      <c r="G5" s="10"/>
      <c r="H5" s="28"/>
      <c r="I5" s="28" t="s">
        <v>171</v>
      </c>
      <c r="J5" s="150">
        <f>'07 - Gestión del Proyecto'!$J$5</f>
        <v>3</v>
      </c>
      <c r="K5" s="28"/>
      <c r="L5" s="28"/>
      <c r="M5" s="52"/>
      <c r="N5" s="63"/>
    </row>
    <row r="6" spans="1:14" x14ac:dyDescent="0.3">
      <c r="A6" s="62"/>
      <c r="B6" s="62"/>
      <c r="C6" s="10"/>
      <c r="D6" s="10"/>
      <c r="E6" s="10" t="s">
        <v>180</v>
      </c>
      <c r="F6" s="10"/>
      <c r="G6" s="10"/>
      <c r="H6" s="28"/>
      <c r="I6" s="28" t="s">
        <v>171</v>
      </c>
      <c r="J6" s="150">
        <f>'07 - Gestión del Proyecto'!$J$6</f>
        <v>18</v>
      </c>
      <c r="K6" s="28"/>
      <c r="L6" s="28"/>
      <c r="M6" s="52"/>
      <c r="N6" s="63"/>
    </row>
    <row r="7" spans="1:14" x14ac:dyDescent="0.3">
      <c r="A7" s="62"/>
      <c r="B7" s="138"/>
      <c r="C7" s="139"/>
      <c r="D7" s="10"/>
      <c r="E7" s="10" t="s">
        <v>181</v>
      </c>
      <c r="F7" s="10"/>
      <c r="G7" s="10"/>
      <c r="H7" s="28"/>
      <c r="I7" s="28" t="s">
        <v>171</v>
      </c>
      <c r="J7" s="150">
        <f>'07 - Gestión del Proyecto'!$J$7</f>
        <v>2</v>
      </c>
      <c r="K7" s="28"/>
      <c r="L7" s="28"/>
      <c r="M7" s="52"/>
      <c r="N7" s="63"/>
    </row>
    <row r="8" spans="1:14" ht="7.5" customHeight="1" x14ac:dyDescent="0.3">
      <c r="A8" s="62"/>
      <c r="B8" s="53"/>
      <c r="C8" s="5"/>
      <c r="D8" s="5"/>
      <c r="E8" s="5"/>
      <c r="F8" s="5"/>
      <c r="G8" s="5"/>
      <c r="H8" s="143"/>
      <c r="I8" s="143"/>
      <c r="J8" s="143"/>
      <c r="K8" s="143"/>
      <c r="L8" s="143"/>
      <c r="M8" s="54"/>
      <c r="N8" s="63"/>
    </row>
    <row r="9" spans="1:14" ht="7.5" customHeight="1" x14ac:dyDescent="0.3">
      <c r="A9" s="62"/>
      <c r="B9" s="10"/>
      <c r="C9" s="10"/>
      <c r="D9" s="10"/>
      <c r="E9" s="10"/>
      <c r="F9" s="10"/>
      <c r="G9" s="10"/>
      <c r="H9" s="28"/>
      <c r="I9" s="28"/>
      <c r="J9" s="28"/>
      <c r="K9" s="28"/>
      <c r="L9" s="28"/>
      <c r="M9" s="28"/>
      <c r="N9" s="63"/>
    </row>
    <row r="10" spans="1:14" x14ac:dyDescent="0.3">
      <c r="A10" s="62"/>
      <c r="B10" s="224" t="s">
        <v>26</v>
      </c>
      <c r="C10" s="224"/>
      <c r="D10" s="224"/>
      <c r="E10" s="221" t="s">
        <v>27</v>
      </c>
      <c r="F10" s="221"/>
      <c r="G10" s="221"/>
      <c r="H10" s="140" t="s">
        <v>4</v>
      </c>
      <c r="I10" s="140" t="s">
        <v>5</v>
      </c>
      <c r="J10" s="140" t="s">
        <v>6</v>
      </c>
      <c r="K10" s="140" t="s">
        <v>7</v>
      </c>
      <c r="L10" s="140" t="s">
        <v>183</v>
      </c>
      <c r="M10" s="140" t="s">
        <v>8</v>
      </c>
      <c r="N10" s="63"/>
    </row>
    <row r="11" spans="1:14" ht="7.5" customHeight="1" x14ac:dyDescent="0.3">
      <c r="A11" s="62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63"/>
    </row>
    <row r="12" spans="1:14" x14ac:dyDescent="0.3">
      <c r="A12" s="62"/>
      <c r="B12" s="114">
        <v>8</v>
      </c>
      <c r="C12" s="15" t="s">
        <v>178</v>
      </c>
      <c r="D12" s="14"/>
      <c r="E12" s="16"/>
      <c r="F12" s="16"/>
      <c r="G12" s="16"/>
      <c r="H12" s="17"/>
      <c r="I12" s="17"/>
      <c r="J12" s="17"/>
      <c r="K12" s="17"/>
      <c r="L12" s="17"/>
      <c r="M12" s="137">
        <f>M14+M42+M95+M107+M120+M134+M140+M152</f>
        <v>307285</v>
      </c>
      <c r="N12" s="63"/>
    </row>
    <row r="13" spans="1:14" ht="7.5" customHeight="1" x14ac:dyDescent="0.3">
      <c r="A13" s="62"/>
      <c r="B13" s="223"/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63"/>
    </row>
    <row r="14" spans="1:14" x14ac:dyDescent="0.3">
      <c r="A14" s="62"/>
      <c r="B14" s="9"/>
      <c r="C14" s="65">
        <v>8.1</v>
      </c>
      <c r="D14" s="65" t="s">
        <v>184</v>
      </c>
      <c r="E14" s="67"/>
      <c r="F14" s="29"/>
      <c r="G14" s="29"/>
      <c r="H14" s="68"/>
      <c r="I14" s="68"/>
      <c r="J14" s="68"/>
      <c r="K14" s="68"/>
      <c r="L14" s="68"/>
      <c r="M14" s="137">
        <f>SUM($L$16,$L$24,$L$30)</f>
        <v>62260</v>
      </c>
      <c r="N14" s="63"/>
    </row>
    <row r="15" spans="1:14" ht="7.5" customHeight="1" x14ac:dyDescent="0.3">
      <c r="A15" s="62"/>
      <c r="B15" s="9"/>
      <c r="C15" s="69"/>
      <c r="D15" s="9"/>
      <c r="E15" s="70"/>
      <c r="F15" s="10"/>
      <c r="G15" s="10"/>
      <c r="H15" s="28"/>
      <c r="I15" s="28"/>
      <c r="J15" s="28"/>
      <c r="K15" s="28"/>
      <c r="L15" s="28"/>
      <c r="M15" s="69"/>
      <c r="N15" s="63"/>
    </row>
    <row r="16" spans="1:14" x14ac:dyDescent="0.3">
      <c r="A16" s="62"/>
      <c r="B16" s="9"/>
      <c r="C16" s="10"/>
      <c r="D16" s="113">
        <v>8.11</v>
      </c>
      <c r="E16" s="31" t="s">
        <v>185</v>
      </c>
      <c r="F16" s="32"/>
      <c r="G16" s="32"/>
      <c r="H16" s="13"/>
      <c r="I16" s="13"/>
      <c r="J16" s="13"/>
      <c r="K16" s="13"/>
      <c r="L16" s="137">
        <f>SUM(K18:K22)</f>
        <v>10250</v>
      </c>
      <c r="M16" s="13"/>
      <c r="N16" s="63"/>
    </row>
    <row r="17" spans="1:14" ht="8.25" customHeight="1" x14ac:dyDescent="0.3">
      <c r="A17" s="62"/>
      <c r="B17" s="9"/>
      <c r="C17" s="9"/>
      <c r="D17" s="9"/>
      <c r="E17" s="10"/>
      <c r="F17" s="49"/>
      <c r="G17" s="5"/>
      <c r="H17" s="143"/>
      <c r="I17" s="37"/>
      <c r="J17" s="143"/>
      <c r="K17" s="143"/>
      <c r="L17" s="143"/>
      <c r="M17" s="143"/>
      <c r="N17" s="63"/>
    </row>
    <row r="18" spans="1:14" x14ac:dyDescent="0.3">
      <c r="A18" s="62"/>
      <c r="B18" s="9"/>
      <c r="C18" s="9"/>
      <c r="D18" s="9"/>
      <c r="E18" s="10"/>
      <c r="F18" s="134" t="s">
        <v>186</v>
      </c>
      <c r="G18" s="5"/>
      <c r="H18" s="143" t="s">
        <v>19</v>
      </c>
      <c r="I18" s="37">
        <v>1</v>
      </c>
      <c r="J18" s="135">
        <v>2500</v>
      </c>
      <c r="K18" s="135">
        <f>J18*I18</f>
        <v>2500</v>
      </c>
      <c r="L18" s="143"/>
      <c r="M18" s="143"/>
      <c r="N18" s="63"/>
    </row>
    <row r="19" spans="1:14" x14ac:dyDescent="0.3">
      <c r="A19" s="62"/>
      <c r="B19" s="9"/>
      <c r="C19" s="9"/>
      <c r="D19" s="9"/>
      <c r="E19" s="10"/>
      <c r="F19" s="7" t="s">
        <v>187</v>
      </c>
      <c r="G19" s="5"/>
      <c r="H19" s="143" t="s">
        <v>19</v>
      </c>
      <c r="I19" s="37">
        <v>1</v>
      </c>
      <c r="J19" s="135">
        <v>700</v>
      </c>
      <c r="K19" s="135">
        <f t="shared" ref="K19:K22" si="0">J19*I19</f>
        <v>700</v>
      </c>
      <c r="L19" s="143"/>
      <c r="M19" s="143"/>
      <c r="N19" s="63"/>
    </row>
    <row r="20" spans="1:14" x14ac:dyDescent="0.3">
      <c r="A20" s="62"/>
      <c r="B20" s="9"/>
      <c r="C20" s="9"/>
      <c r="D20" s="9"/>
      <c r="E20" s="10"/>
      <c r="F20" s="7" t="s">
        <v>188</v>
      </c>
      <c r="G20" s="5"/>
      <c r="H20" s="143" t="s">
        <v>19</v>
      </c>
      <c r="I20" s="37">
        <v>1</v>
      </c>
      <c r="J20" s="135">
        <v>3000</v>
      </c>
      <c r="K20" s="135">
        <f t="shared" si="0"/>
        <v>3000</v>
      </c>
      <c r="L20" s="143"/>
      <c r="M20" s="143"/>
      <c r="N20" s="63"/>
    </row>
    <row r="21" spans="1:14" x14ac:dyDescent="0.3">
      <c r="A21" s="62"/>
      <c r="B21" s="9"/>
      <c r="C21" s="9"/>
      <c r="D21" s="9"/>
      <c r="E21" s="10"/>
      <c r="F21" s="7" t="s">
        <v>189</v>
      </c>
      <c r="G21" s="5"/>
      <c r="H21" s="143" t="s">
        <v>19</v>
      </c>
      <c r="I21" s="37">
        <v>1</v>
      </c>
      <c r="J21" s="135">
        <v>3000</v>
      </c>
      <c r="K21" s="135">
        <f t="shared" si="0"/>
        <v>3000</v>
      </c>
      <c r="L21" s="143"/>
      <c r="M21" s="143"/>
      <c r="N21" s="63"/>
    </row>
    <row r="22" spans="1:14" x14ac:dyDescent="0.3">
      <c r="A22" s="62"/>
      <c r="B22" s="9"/>
      <c r="C22" s="9"/>
      <c r="D22" s="9"/>
      <c r="E22" s="10"/>
      <c r="F22" s="7" t="s">
        <v>190</v>
      </c>
      <c r="G22" s="5"/>
      <c r="H22" s="143" t="s">
        <v>175</v>
      </c>
      <c r="I22" s="37">
        <f>$J$5+$J$6</f>
        <v>21</v>
      </c>
      <c r="J22" s="135">
        <v>50</v>
      </c>
      <c r="K22" s="135">
        <f t="shared" si="0"/>
        <v>1050</v>
      </c>
      <c r="L22" s="143"/>
      <c r="M22" s="143"/>
      <c r="N22" s="63"/>
    </row>
    <row r="23" spans="1:14" s="10" customFormat="1" ht="8.25" customHeight="1" x14ac:dyDescent="0.3">
      <c r="A23" s="62"/>
      <c r="B23" s="9"/>
      <c r="C23" s="9"/>
      <c r="D23" s="9"/>
      <c r="F23" s="77"/>
      <c r="H23" s="28"/>
      <c r="I23" s="117"/>
      <c r="J23" s="28"/>
      <c r="K23" s="28"/>
      <c r="L23" s="28"/>
      <c r="M23" s="28"/>
      <c r="N23" s="63"/>
    </row>
    <row r="24" spans="1:14" x14ac:dyDescent="0.3">
      <c r="A24" s="62"/>
      <c r="B24" s="9"/>
      <c r="C24" s="10"/>
      <c r="D24" s="113">
        <v>8.1199999999999992</v>
      </c>
      <c r="E24" s="31" t="s">
        <v>191</v>
      </c>
      <c r="F24" s="32"/>
      <c r="G24" s="32"/>
      <c r="H24" s="13"/>
      <c r="I24" s="13"/>
      <c r="J24" s="13"/>
      <c r="K24" s="13"/>
      <c r="L24" s="137">
        <f>SUM(K26:K28)</f>
        <v>24500</v>
      </c>
      <c r="M24" s="13"/>
      <c r="N24" s="63"/>
    </row>
    <row r="25" spans="1:14" ht="8.25" customHeight="1" x14ac:dyDescent="0.3">
      <c r="A25" s="62"/>
      <c r="B25" s="9"/>
      <c r="C25" s="9"/>
      <c r="D25" s="9"/>
      <c r="E25" s="10"/>
      <c r="F25" s="49"/>
      <c r="G25" s="5"/>
      <c r="H25" s="143"/>
      <c r="I25" s="37"/>
      <c r="J25" s="143"/>
      <c r="K25" s="143"/>
      <c r="L25" s="143"/>
      <c r="M25" s="143"/>
      <c r="N25" s="63"/>
    </row>
    <row r="26" spans="1:14" x14ac:dyDescent="0.3">
      <c r="A26" s="62"/>
      <c r="B26" s="9"/>
      <c r="C26" s="9"/>
      <c r="D26" s="9"/>
      <c r="E26" s="10"/>
      <c r="F26" s="134" t="s">
        <v>192</v>
      </c>
      <c r="G26" s="5"/>
      <c r="H26" s="143" t="s">
        <v>19</v>
      </c>
      <c r="I26" s="37">
        <v>1</v>
      </c>
      <c r="J26" s="135">
        <v>2500</v>
      </c>
      <c r="K26" s="135">
        <f>J26*I26</f>
        <v>2500</v>
      </c>
      <c r="L26" s="143"/>
      <c r="M26" s="143"/>
      <c r="N26" s="63"/>
    </row>
    <row r="27" spans="1:14" x14ac:dyDescent="0.3">
      <c r="A27" s="62"/>
      <c r="B27" s="9"/>
      <c r="C27" s="9"/>
      <c r="D27" s="9"/>
      <c r="E27" s="10"/>
      <c r="F27" s="7" t="s">
        <v>193</v>
      </c>
      <c r="G27" s="5"/>
      <c r="H27" s="143" t="s">
        <v>19</v>
      </c>
      <c r="I27" s="37">
        <v>1</v>
      </c>
      <c r="J27" s="135">
        <v>17000</v>
      </c>
      <c r="K27" s="135">
        <f t="shared" ref="K27:K28" si="1">J27*I27</f>
        <v>17000</v>
      </c>
      <c r="L27" s="143"/>
      <c r="M27" s="143"/>
      <c r="N27" s="63"/>
    </row>
    <row r="28" spans="1:14" x14ac:dyDescent="0.3">
      <c r="A28" s="62"/>
      <c r="B28" s="9"/>
      <c r="C28" s="9"/>
      <c r="D28" s="9"/>
      <c r="E28" s="10"/>
      <c r="F28" s="7" t="s">
        <v>194</v>
      </c>
      <c r="G28" s="5"/>
      <c r="H28" s="143" t="s">
        <v>19</v>
      </c>
      <c r="I28" s="37">
        <v>1</v>
      </c>
      <c r="J28" s="135">
        <v>5000</v>
      </c>
      <c r="K28" s="135">
        <f t="shared" si="1"/>
        <v>5000</v>
      </c>
      <c r="L28" s="143"/>
      <c r="M28" s="143"/>
      <c r="N28" s="63"/>
    </row>
    <row r="29" spans="1:14" s="10" customFormat="1" ht="8.25" customHeight="1" x14ac:dyDescent="0.3">
      <c r="A29" s="62"/>
      <c r="B29" s="9"/>
      <c r="C29" s="9"/>
      <c r="D29" s="9"/>
      <c r="F29" s="77"/>
      <c r="H29" s="28"/>
      <c r="I29" s="117"/>
      <c r="J29" s="28"/>
      <c r="K29" s="28"/>
      <c r="L29" s="28"/>
      <c r="M29" s="28"/>
      <c r="N29" s="63"/>
    </row>
    <row r="30" spans="1:14" x14ac:dyDescent="0.3">
      <c r="A30" s="62"/>
      <c r="B30" s="9"/>
      <c r="C30" s="10"/>
      <c r="D30" s="113">
        <v>8.1300000000000008</v>
      </c>
      <c r="E30" s="31" t="s">
        <v>195</v>
      </c>
      <c r="F30" s="32"/>
      <c r="G30" s="32"/>
      <c r="H30" s="13"/>
      <c r="I30" s="13"/>
      <c r="J30" s="13"/>
      <c r="K30" s="13"/>
      <c r="L30" s="137">
        <f>$K$32+$K$37</f>
        <v>27510</v>
      </c>
      <c r="M30" s="13"/>
      <c r="N30" s="63"/>
    </row>
    <row r="31" spans="1:14" ht="8.25" customHeight="1" x14ac:dyDescent="0.3">
      <c r="A31" s="62"/>
      <c r="B31" s="9"/>
      <c r="C31" s="9"/>
      <c r="D31" s="9"/>
      <c r="E31" s="10"/>
      <c r="F31" s="49"/>
      <c r="G31" s="5"/>
      <c r="H31" s="143"/>
      <c r="I31" s="37"/>
      <c r="J31" s="143"/>
      <c r="K31" s="143"/>
      <c r="L31" s="143"/>
      <c r="M31" s="143"/>
      <c r="N31" s="63"/>
    </row>
    <row r="32" spans="1:14" x14ac:dyDescent="0.3">
      <c r="A32" s="62"/>
      <c r="B32" s="9"/>
      <c r="C32" s="9"/>
      <c r="D32" s="9"/>
      <c r="E32" s="10"/>
      <c r="F32" s="49" t="s">
        <v>196</v>
      </c>
      <c r="G32" s="5"/>
      <c r="H32" s="143"/>
      <c r="I32" s="37"/>
      <c r="J32" s="135"/>
      <c r="K32" s="136">
        <f>SUM(K33:K36)</f>
        <v>9660</v>
      </c>
      <c r="L32" s="143"/>
      <c r="M32" s="143"/>
      <c r="N32" s="63"/>
    </row>
    <row r="33" spans="1:14" x14ac:dyDescent="0.3">
      <c r="A33" s="62"/>
      <c r="B33" s="9"/>
      <c r="C33" s="9"/>
      <c r="D33" s="9"/>
      <c r="E33" s="10"/>
      <c r="F33" s="7"/>
      <c r="G33" s="5" t="s">
        <v>197</v>
      </c>
      <c r="H33" s="143" t="s">
        <v>175</v>
      </c>
      <c r="I33" s="37">
        <f>$J$5+$J$6</f>
        <v>21</v>
      </c>
      <c r="J33" s="135">
        <v>100</v>
      </c>
      <c r="K33" s="135">
        <f t="shared" ref="K33:K39" si="2">J33*I33</f>
        <v>2100</v>
      </c>
      <c r="L33" s="143"/>
      <c r="M33" s="143"/>
      <c r="N33" s="63"/>
    </row>
    <row r="34" spans="1:14" x14ac:dyDescent="0.3">
      <c r="A34" s="62"/>
      <c r="B34" s="9"/>
      <c r="C34" s="9"/>
      <c r="D34" s="9"/>
      <c r="E34" s="10"/>
      <c r="F34" s="7"/>
      <c r="G34" s="5" t="s">
        <v>198</v>
      </c>
      <c r="H34" s="143" t="s">
        <v>175</v>
      </c>
      <c r="I34" s="37">
        <f>$J$5+$J$6</f>
        <v>21</v>
      </c>
      <c r="J34" s="135">
        <v>200</v>
      </c>
      <c r="K34" s="135">
        <f t="shared" ref="K34:K36" si="3">J34*I34</f>
        <v>4200</v>
      </c>
      <c r="L34" s="143"/>
      <c r="M34" s="143"/>
      <c r="N34" s="63"/>
    </row>
    <row r="35" spans="1:14" x14ac:dyDescent="0.3">
      <c r="A35" s="62"/>
      <c r="B35" s="9"/>
      <c r="C35" s="9"/>
      <c r="D35" s="9"/>
      <c r="E35" s="10"/>
      <c r="F35" s="7"/>
      <c r="G35" s="5" t="s">
        <v>199</v>
      </c>
      <c r="H35" s="143" t="s">
        <v>175</v>
      </c>
      <c r="I35" s="37">
        <f>$J$5+$J$6</f>
        <v>21</v>
      </c>
      <c r="J35" s="135">
        <v>70</v>
      </c>
      <c r="K35" s="135">
        <f t="shared" si="3"/>
        <v>1470</v>
      </c>
      <c r="L35" s="143"/>
      <c r="M35" s="143"/>
      <c r="N35" s="63"/>
    </row>
    <row r="36" spans="1:14" x14ac:dyDescent="0.3">
      <c r="A36" s="62"/>
      <c r="B36" s="9"/>
      <c r="C36" s="9"/>
      <c r="D36" s="9"/>
      <c r="E36" s="10"/>
      <c r="F36" s="7"/>
      <c r="G36" s="5" t="s">
        <v>200</v>
      </c>
      <c r="H36" s="143" t="s">
        <v>175</v>
      </c>
      <c r="I36" s="37">
        <f>$J$5+$J$6</f>
        <v>21</v>
      </c>
      <c r="J36" s="135">
        <v>90</v>
      </c>
      <c r="K36" s="135">
        <f t="shared" si="3"/>
        <v>1890</v>
      </c>
      <c r="L36" s="143"/>
      <c r="M36" s="143"/>
      <c r="N36" s="63"/>
    </row>
    <row r="37" spans="1:14" x14ac:dyDescent="0.3">
      <c r="A37" s="62"/>
      <c r="B37" s="9"/>
      <c r="C37" s="9"/>
      <c r="D37" s="9"/>
      <c r="E37" s="10"/>
      <c r="F37" s="74" t="s">
        <v>201</v>
      </c>
      <c r="G37" s="5"/>
      <c r="H37" s="143"/>
      <c r="I37" s="37"/>
      <c r="J37" s="135"/>
      <c r="K37" s="136">
        <f>SUM(K38:K39)</f>
        <v>17850</v>
      </c>
      <c r="L37" s="143"/>
      <c r="M37" s="143"/>
      <c r="N37" s="63"/>
    </row>
    <row r="38" spans="1:14" x14ac:dyDescent="0.3">
      <c r="A38" s="62"/>
      <c r="B38" s="9"/>
      <c r="C38" s="9"/>
      <c r="D38" s="9"/>
      <c r="E38" s="10"/>
      <c r="F38" s="7"/>
      <c r="G38" s="5" t="s">
        <v>202</v>
      </c>
      <c r="H38" s="143" t="s">
        <v>175</v>
      </c>
      <c r="I38" s="37">
        <f>$J$5+$J$6</f>
        <v>21</v>
      </c>
      <c r="J38" s="135">
        <v>250</v>
      </c>
      <c r="K38" s="135">
        <f t="shared" ref="K38" si="4">J38*I38</f>
        <v>5250</v>
      </c>
      <c r="L38" s="143"/>
      <c r="M38" s="143"/>
      <c r="N38" s="63"/>
    </row>
    <row r="39" spans="1:14" x14ac:dyDescent="0.3">
      <c r="A39" s="62"/>
      <c r="B39" s="9"/>
      <c r="C39" s="9"/>
      <c r="D39" s="9"/>
      <c r="E39" s="10"/>
      <c r="F39" s="7"/>
      <c r="G39" s="5" t="s">
        <v>203</v>
      </c>
      <c r="H39" s="143" t="s">
        <v>175</v>
      </c>
      <c r="I39" s="37">
        <f>$J$5+$J$6</f>
        <v>21</v>
      </c>
      <c r="J39" s="135">
        <v>600</v>
      </c>
      <c r="K39" s="135">
        <f t="shared" si="2"/>
        <v>12600</v>
      </c>
      <c r="L39" s="143"/>
      <c r="M39" s="143"/>
      <c r="N39" s="63"/>
    </row>
    <row r="40" spans="1:14" s="10" customFormat="1" ht="8.25" customHeight="1" x14ac:dyDescent="0.3">
      <c r="A40" s="62"/>
      <c r="B40" s="9"/>
      <c r="C40" s="9"/>
      <c r="D40" s="9"/>
      <c r="F40" s="77"/>
      <c r="H40" s="28"/>
      <c r="I40" s="117"/>
      <c r="J40" s="28"/>
      <c r="K40" s="28"/>
      <c r="L40" s="28"/>
      <c r="M40" s="28"/>
      <c r="N40" s="63"/>
    </row>
    <row r="41" spans="1:14" s="10" customFormat="1" ht="8.25" customHeight="1" x14ac:dyDescent="0.3">
      <c r="A41" s="62"/>
      <c r="B41" s="9"/>
      <c r="C41" s="9"/>
      <c r="D41" s="9"/>
      <c r="F41" s="77"/>
      <c r="H41" s="28"/>
      <c r="I41" s="117"/>
      <c r="J41" s="28"/>
      <c r="K41" s="28"/>
      <c r="L41" s="28"/>
      <c r="M41" s="28"/>
      <c r="N41" s="63"/>
    </row>
    <row r="42" spans="1:14" x14ac:dyDescent="0.3">
      <c r="A42" s="62"/>
      <c r="B42" s="9"/>
      <c r="C42" s="65">
        <v>8.1999999999999993</v>
      </c>
      <c r="D42" s="65" t="s">
        <v>205</v>
      </c>
      <c r="E42" s="67"/>
      <c r="F42" s="29"/>
      <c r="G42" s="29"/>
      <c r="H42" s="68"/>
      <c r="I42" s="68"/>
      <c r="J42" s="68"/>
      <c r="K42" s="68"/>
      <c r="L42" s="68"/>
      <c r="M42" s="137">
        <f>$L$44+$L$53+$L$60+$L$71+L85+L90</f>
        <v>50000</v>
      </c>
      <c r="N42" s="63"/>
    </row>
    <row r="43" spans="1:14" ht="7.5" customHeight="1" x14ac:dyDescent="0.3">
      <c r="A43" s="62"/>
      <c r="B43" s="9"/>
      <c r="C43" s="69"/>
      <c r="D43" s="9"/>
      <c r="E43" s="70"/>
      <c r="F43" s="10"/>
      <c r="G43" s="10"/>
      <c r="H43" s="28"/>
      <c r="I43" s="28"/>
      <c r="J43" s="28"/>
      <c r="K43" s="28"/>
      <c r="L43" s="28"/>
      <c r="M43" s="69"/>
      <c r="N43" s="63"/>
    </row>
    <row r="44" spans="1:14" x14ac:dyDescent="0.3">
      <c r="A44" s="62"/>
      <c r="B44" s="9"/>
      <c r="C44" s="10"/>
      <c r="D44" s="113">
        <v>8.2100000000000009</v>
      </c>
      <c r="E44" s="31" t="s">
        <v>206</v>
      </c>
      <c r="F44" s="32"/>
      <c r="G44" s="32"/>
      <c r="H44" s="13"/>
      <c r="I44" s="13"/>
      <c r="J44" s="13"/>
      <c r="K44" s="13"/>
      <c r="L44" s="137">
        <f>SUM(K46:K51)</f>
        <v>10610</v>
      </c>
      <c r="M44" s="13"/>
      <c r="N44" s="63"/>
    </row>
    <row r="45" spans="1:14" ht="8.25" customHeight="1" x14ac:dyDescent="0.3">
      <c r="A45" s="62"/>
      <c r="B45" s="9"/>
      <c r="C45" s="9"/>
      <c r="D45" s="9"/>
      <c r="E45" s="10"/>
      <c r="F45" s="49"/>
      <c r="G45" s="5"/>
      <c r="H45" s="143"/>
      <c r="I45" s="37"/>
      <c r="J45" s="143"/>
      <c r="K45" s="143"/>
      <c r="L45" s="143"/>
      <c r="M45" s="143"/>
      <c r="N45" s="63"/>
    </row>
    <row r="46" spans="1:14" x14ac:dyDescent="0.3">
      <c r="A46" s="62"/>
      <c r="B46" s="9"/>
      <c r="C46" s="9"/>
      <c r="D46" s="9"/>
      <c r="E46" s="10"/>
      <c r="F46" s="134" t="s">
        <v>207</v>
      </c>
      <c r="G46" s="5"/>
      <c r="H46" s="143" t="s">
        <v>19</v>
      </c>
      <c r="I46" s="37">
        <v>1</v>
      </c>
      <c r="J46" s="135">
        <v>1200</v>
      </c>
      <c r="K46" s="135">
        <f>J46*I46</f>
        <v>1200</v>
      </c>
      <c r="L46" s="143"/>
      <c r="M46" s="143"/>
      <c r="N46" s="63"/>
    </row>
    <row r="47" spans="1:14" x14ac:dyDescent="0.3">
      <c r="A47" s="62"/>
      <c r="B47" s="9"/>
      <c r="C47" s="9"/>
      <c r="D47" s="9"/>
      <c r="E47" s="10"/>
      <c r="F47" s="7" t="s">
        <v>208</v>
      </c>
      <c r="G47" s="5"/>
      <c r="H47" s="143" t="s">
        <v>19</v>
      </c>
      <c r="I47" s="37">
        <v>1</v>
      </c>
      <c r="J47" s="135">
        <v>1500</v>
      </c>
      <c r="K47" s="135">
        <f t="shared" ref="K47:K51" si="5">J47*I47</f>
        <v>1500</v>
      </c>
      <c r="L47" s="143"/>
      <c r="M47" s="143"/>
      <c r="N47" s="63"/>
    </row>
    <row r="48" spans="1:14" x14ac:dyDescent="0.3">
      <c r="A48" s="62"/>
      <c r="B48" s="9"/>
      <c r="C48" s="9"/>
      <c r="D48" s="9"/>
      <c r="E48" s="10"/>
      <c r="F48" s="7" t="s">
        <v>209</v>
      </c>
      <c r="G48" s="5"/>
      <c r="H48" s="143" t="s">
        <v>213</v>
      </c>
      <c r="I48" s="37">
        <v>3</v>
      </c>
      <c r="J48" s="135">
        <v>1000</v>
      </c>
      <c r="K48" s="135">
        <f t="shared" si="5"/>
        <v>3000</v>
      </c>
      <c r="L48" s="143"/>
      <c r="M48" s="143"/>
      <c r="N48" s="63"/>
    </row>
    <row r="49" spans="1:14" x14ac:dyDescent="0.3">
      <c r="A49" s="62"/>
      <c r="B49" s="9"/>
      <c r="C49" s="9"/>
      <c r="D49" s="9"/>
      <c r="E49" s="10"/>
      <c r="F49" s="7" t="s">
        <v>210</v>
      </c>
      <c r="G49" s="5"/>
      <c r="H49" s="143" t="s">
        <v>213</v>
      </c>
      <c r="I49" s="37">
        <v>4</v>
      </c>
      <c r="J49" s="135">
        <v>800</v>
      </c>
      <c r="K49" s="135">
        <f t="shared" si="5"/>
        <v>3200</v>
      </c>
      <c r="L49" s="143"/>
      <c r="M49" s="143"/>
      <c r="N49" s="63"/>
    </row>
    <row r="50" spans="1:14" x14ac:dyDescent="0.3">
      <c r="A50" s="62"/>
      <c r="B50" s="9"/>
      <c r="C50" s="9"/>
      <c r="D50" s="9"/>
      <c r="E50" s="10"/>
      <c r="F50" s="7" t="s">
        <v>211</v>
      </c>
      <c r="G50" s="5"/>
      <c r="H50" s="143" t="s">
        <v>19</v>
      </c>
      <c r="I50" s="37">
        <v>1</v>
      </c>
      <c r="J50" s="135">
        <v>500</v>
      </c>
      <c r="K50" s="135">
        <f t="shared" si="5"/>
        <v>500</v>
      </c>
      <c r="L50" s="143"/>
      <c r="M50" s="143"/>
      <c r="N50" s="63"/>
    </row>
    <row r="51" spans="1:14" x14ac:dyDescent="0.3">
      <c r="A51" s="62"/>
      <c r="B51" s="9"/>
      <c r="C51" s="9"/>
      <c r="D51" s="9"/>
      <c r="E51" s="10"/>
      <c r="F51" s="7" t="s">
        <v>212</v>
      </c>
      <c r="G51" s="5"/>
      <c r="H51" s="143" t="s">
        <v>19</v>
      </c>
      <c r="I51" s="37">
        <v>1</v>
      </c>
      <c r="J51" s="135">
        <v>1210</v>
      </c>
      <c r="K51" s="135">
        <f t="shared" si="5"/>
        <v>1210</v>
      </c>
      <c r="L51" s="143"/>
      <c r="M51" s="143"/>
      <c r="N51" s="63"/>
    </row>
    <row r="52" spans="1:14" s="10" customFormat="1" ht="8.25" customHeight="1" x14ac:dyDescent="0.3">
      <c r="A52" s="62"/>
      <c r="B52" s="9"/>
      <c r="C52" s="9"/>
      <c r="D52" s="9"/>
      <c r="F52" s="77"/>
      <c r="H52" s="28"/>
      <c r="I52" s="117"/>
      <c r="J52" s="28"/>
      <c r="K52" s="28"/>
      <c r="L52" s="28"/>
      <c r="M52" s="28"/>
      <c r="N52" s="63"/>
    </row>
    <row r="53" spans="1:14" x14ac:dyDescent="0.3">
      <c r="A53" s="62"/>
      <c r="B53" s="9"/>
      <c r="C53" s="10"/>
      <c r="D53" s="113">
        <v>8.2200000000000006</v>
      </c>
      <c r="E53" s="31" t="s">
        <v>214</v>
      </c>
      <c r="F53" s="32"/>
      <c r="G53" s="32"/>
      <c r="H53" s="13"/>
      <c r="I53" s="13"/>
      <c r="J53" s="13"/>
      <c r="K53" s="13"/>
      <c r="L53" s="137">
        <f>SUM(K55:K58)</f>
        <v>6890</v>
      </c>
      <c r="M53" s="13"/>
      <c r="N53" s="63"/>
    </row>
    <row r="54" spans="1:14" ht="8.25" customHeight="1" x14ac:dyDescent="0.3">
      <c r="A54" s="62"/>
      <c r="B54" s="9"/>
      <c r="C54" s="9"/>
      <c r="D54" s="9"/>
      <c r="E54" s="10"/>
      <c r="F54" s="49"/>
      <c r="G54" s="5"/>
      <c r="H54" s="143"/>
      <c r="I54" s="37"/>
      <c r="J54" s="143"/>
      <c r="K54" s="143"/>
      <c r="L54" s="143"/>
      <c r="M54" s="143"/>
      <c r="N54" s="63"/>
    </row>
    <row r="55" spans="1:14" x14ac:dyDescent="0.3">
      <c r="A55" s="62"/>
      <c r="B55" s="9"/>
      <c r="C55" s="9"/>
      <c r="D55" s="9"/>
      <c r="E55" s="10"/>
      <c r="F55" s="134" t="s">
        <v>215</v>
      </c>
      <c r="G55" s="5"/>
      <c r="H55" s="143" t="s">
        <v>219</v>
      </c>
      <c r="I55" s="37">
        <v>1</v>
      </c>
      <c r="J55" s="135">
        <v>1500</v>
      </c>
      <c r="K55" s="135">
        <f>J55*I55</f>
        <v>1500</v>
      </c>
      <c r="L55" s="143"/>
      <c r="M55" s="143"/>
      <c r="N55" s="63"/>
    </row>
    <row r="56" spans="1:14" x14ac:dyDescent="0.3">
      <c r="A56" s="62"/>
      <c r="B56" s="9"/>
      <c r="C56" s="9"/>
      <c r="D56" s="9"/>
      <c r="E56" s="10"/>
      <c r="F56" s="7" t="s">
        <v>216</v>
      </c>
      <c r="G56" s="5"/>
      <c r="H56" s="143" t="s">
        <v>219</v>
      </c>
      <c r="I56" s="37">
        <v>1</v>
      </c>
      <c r="J56" s="135">
        <v>3790</v>
      </c>
      <c r="K56" s="135">
        <f t="shared" ref="K56:K58" si="6">J56*I56</f>
        <v>3790</v>
      </c>
      <c r="L56" s="143"/>
      <c r="M56" s="143"/>
      <c r="N56" s="63"/>
    </row>
    <row r="57" spans="1:14" x14ac:dyDescent="0.3">
      <c r="A57" s="62"/>
      <c r="B57" s="9"/>
      <c r="C57" s="9"/>
      <c r="D57" s="9"/>
      <c r="E57" s="10"/>
      <c r="F57" s="7" t="s">
        <v>217</v>
      </c>
      <c r="G57" s="5"/>
      <c r="H57" s="143" t="s">
        <v>219</v>
      </c>
      <c r="I57" s="37">
        <v>1</v>
      </c>
      <c r="J57" s="135">
        <v>1000</v>
      </c>
      <c r="K57" s="135">
        <f>J57*I57</f>
        <v>1000</v>
      </c>
      <c r="L57" s="143"/>
      <c r="M57" s="143"/>
      <c r="N57" s="63"/>
    </row>
    <row r="58" spans="1:14" x14ac:dyDescent="0.3">
      <c r="A58" s="62"/>
      <c r="B58" s="9"/>
      <c r="C58" s="9"/>
      <c r="D58" s="9"/>
      <c r="E58" s="10"/>
      <c r="F58" s="7" t="s">
        <v>218</v>
      </c>
      <c r="G58" s="5"/>
      <c r="H58" s="143" t="s">
        <v>219</v>
      </c>
      <c r="I58" s="37">
        <v>2</v>
      </c>
      <c r="J58" s="135">
        <v>300</v>
      </c>
      <c r="K58" s="135">
        <f t="shared" si="6"/>
        <v>600</v>
      </c>
      <c r="L58" s="143"/>
      <c r="M58" s="143"/>
      <c r="N58" s="63"/>
    </row>
    <row r="59" spans="1:14" s="10" customFormat="1" ht="8.25" customHeight="1" x14ac:dyDescent="0.3">
      <c r="A59" s="62"/>
      <c r="B59" s="9"/>
      <c r="C59" s="9"/>
      <c r="D59" s="9"/>
      <c r="F59" s="77"/>
      <c r="H59" s="28"/>
      <c r="I59" s="117"/>
      <c r="J59" s="28"/>
      <c r="K59" s="28"/>
      <c r="L59" s="28"/>
      <c r="M59" s="28"/>
      <c r="N59" s="63"/>
    </row>
    <row r="60" spans="1:14" x14ac:dyDescent="0.3">
      <c r="A60" s="62"/>
      <c r="B60" s="9"/>
      <c r="C60" s="10"/>
      <c r="D60" s="113">
        <v>8.23</v>
      </c>
      <c r="E60" s="31" t="s">
        <v>242</v>
      </c>
      <c r="F60" s="32"/>
      <c r="G60" s="32"/>
      <c r="H60" s="13"/>
      <c r="I60" s="13"/>
      <c r="J60" s="13"/>
      <c r="K60" s="13"/>
      <c r="L60" s="137">
        <f>$K$62+$K$67</f>
        <v>19800</v>
      </c>
      <c r="M60" s="13"/>
      <c r="N60" s="63"/>
    </row>
    <row r="61" spans="1:14" ht="8.25" customHeight="1" x14ac:dyDescent="0.3">
      <c r="A61" s="62"/>
      <c r="B61" s="9"/>
      <c r="C61" s="9"/>
      <c r="D61" s="9"/>
      <c r="E61" s="10"/>
      <c r="F61" s="49"/>
      <c r="G61" s="5"/>
      <c r="H61" s="143"/>
      <c r="I61" s="37"/>
      <c r="J61" s="143"/>
      <c r="K61" s="143"/>
      <c r="L61" s="143"/>
      <c r="M61" s="143"/>
      <c r="N61" s="63"/>
    </row>
    <row r="62" spans="1:14" x14ac:dyDescent="0.3">
      <c r="A62" s="62"/>
      <c r="B62" s="9"/>
      <c r="C62" s="9"/>
      <c r="D62" s="9"/>
      <c r="E62" s="10"/>
      <c r="F62" s="49"/>
      <c r="G62" s="5"/>
      <c r="H62" s="143"/>
      <c r="I62" s="37"/>
      <c r="J62" s="143"/>
      <c r="K62" s="136">
        <f>SUM(K63:K65)</f>
        <v>18000</v>
      </c>
      <c r="L62" s="143"/>
      <c r="M62" s="143"/>
      <c r="N62" s="63"/>
    </row>
    <row r="63" spans="1:14" x14ac:dyDescent="0.3">
      <c r="A63" s="62"/>
      <c r="B63" s="9"/>
      <c r="C63" s="9"/>
      <c r="D63" s="9"/>
      <c r="E63" s="10"/>
      <c r="F63" s="134" t="s">
        <v>220</v>
      </c>
      <c r="G63" s="5"/>
      <c r="H63" s="143" t="s">
        <v>19</v>
      </c>
      <c r="I63" s="37">
        <v>1</v>
      </c>
      <c r="J63" s="135">
        <v>9000</v>
      </c>
      <c r="K63" s="135">
        <f>J63*I63</f>
        <v>9000</v>
      </c>
      <c r="L63" s="143"/>
      <c r="M63" s="143"/>
      <c r="N63" s="63"/>
    </row>
    <row r="64" spans="1:14" x14ac:dyDescent="0.3">
      <c r="A64" s="62"/>
      <c r="B64" s="9"/>
      <c r="C64" s="9"/>
      <c r="D64" s="9"/>
      <c r="E64" s="10"/>
      <c r="F64" s="7" t="s">
        <v>221</v>
      </c>
      <c r="G64" s="5"/>
      <c r="H64" s="143" t="s">
        <v>19</v>
      </c>
      <c r="I64" s="37">
        <v>1</v>
      </c>
      <c r="J64" s="135">
        <v>6000</v>
      </c>
      <c r="K64" s="135">
        <f t="shared" ref="K64:K69" si="7">J64*I64</f>
        <v>6000</v>
      </c>
      <c r="L64" s="143"/>
      <c r="M64" s="143"/>
      <c r="N64" s="63"/>
    </row>
    <row r="65" spans="1:14" x14ac:dyDescent="0.3">
      <c r="A65" s="62"/>
      <c r="B65" s="9"/>
      <c r="C65" s="9"/>
      <c r="D65" s="9"/>
      <c r="E65" s="10"/>
      <c r="F65" s="7" t="s">
        <v>222</v>
      </c>
      <c r="G65" s="5"/>
      <c r="H65" s="143" t="s">
        <v>19</v>
      </c>
      <c r="I65" s="37">
        <v>1</v>
      </c>
      <c r="J65" s="135">
        <v>3000</v>
      </c>
      <c r="K65" s="135">
        <f>J65*I65</f>
        <v>3000</v>
      </c>
      <c r="L65" s="143"/>
      <c r="M65" s="143"/>
      <c r="N65" s="63"/>
    </row>
    <row r="66" spans="1:14" ht="7.5" customHeight="1" x14ac:dyDescent="0.3">
      <c r="A66" s="62"/>
      <c r="B66" s="9"/>
      <c r="C66" s="9"/>
      <c r="D66" s="9"/>
      <c r="E66" s="10"/>
      <c r="F66" s="7"/>
      <c r="G66" s="5"/>
      <c r="H66" s="143"/>
      <c r="I66" s="37"/>
      <c r="J66" s="135"/>
      <c r="K66" s="135"/>
      <c r="L66" s="143"/>
      <c r="M66" s="143"/>
      <c r="N66" s="63"/>
    </row>
    <row r="67" spans="1:14" x14ac:dyDescent="0.3">
      <c r="A67" s="62"/>
      <c r="B67" s="9"/>
      <c r="C67" s="9"/>
      <c r="D67" s="9"/>
      <c r="E67" s="10"/>
      <c r="F67" s="49" t="s">
        <v>223</v>
      </c>
      <c r="G67" s="5"/>
      <c r="H67" s="143"/>
      <c r="I67" s="37"/>
      <c r="J67" s="135"/>
      <c r="K67" s="136">
        <f>SUM(K68:K69)</f>
        <v>1800</v>
      </c>
      <c r="L67" s="143"/>
      <c r="M67" s="143"/>
      <c r="N67" s="63"/>
    </row>
    <row r="68" spans="1:14" x14ac:dyDescent="0.3">
      <c r="A68" s="62"/>
      <c r="B68" s="9"/>
      <c r="C68" s="9"/>
      <c r="D68" s="9"/>
      <c r="E68" s="10"/>
      <c r="F68" s="7" t="s">
        <v>224</v>
      </c>
      <c r="G68" s="5"/>
      <c r="H68" s="143" t="s">
        <v>213</v>
      </c>
      <c r="I68" s="37">
        <v>3</v>
      </c>
      <c r="J68" s="135">
        <v>500</v>
      </c>
      <c r="K68" s="135">
        <f t="shared" si="7"/>
        <v>1500</v>
      </c>
      <c r="L68" s="143"/>
      <c r="M68" s="143"/>
      <c r="N68" s="63"/>
    </row>
    <row r="69" spans="1:14" x14ac:dyDescent="0.3">
      <c r="A69" s="62"/>
      <c r="B69" s="9"/>
      <c r="C69" s="9"/>
      <c r="D69" s="9"/>
      <c r="E69" s="10"/>
      <c r="F69" s="134" t="s">
        <v>225</v>
      </c>
      <c r="G69" s="5"/>
      <c r="H69" s="143" t="s">
        <v>213</v>
      </c>
      <c r="I69" s="37">
        <v>3</v>
      </c>
      <c r="J69" s="135">
        <v>100</v>
      </c>
      <c r="K69" s="135">
        <f t="shared" si="7"/>
        <v>300</v>
      </c>
      <c r="L69" s="143"/>
      <c r="M69" s="143"/>
      <c r="N69" s="63"/>
    </row>
    <row r="70" spans="1:14" ht="7.5" customHeight="1" x14ac:dyDescent="0.3">
      <c r="A70" s="62"/>
      <c r="B70" s="9"/>
      <c r="C70" s="9"/>
      <c r="D70" s="9"/>
      <c r="E70" s="10"/>
      <c r="F70" s="19"/>
      <c r="G70" s="19"/>
      <c r="H70" s="142"/>
      <c r="I70" s="43"/>
      <c r="J70" s="60"/>
      <c r="K70" s="60"/>
      <c r="L70" s="142"/>
      <c r="M70" s="142"/>
      <c r="N70" s="63"/>
    </row>
    <row r="71" spans="1:14" x14ac:dyDescent="0.3">
      <c r="A71" s="62"/>
      <c r="B71" s="9"/>
      <c r="C71" s="10"/>
      <c r="D71" s="113">
        <v>8.24</v>
      </c>
      <c r="E71" s="31" t="s">
        <v>226</v>
      </c>
      <c r="F71" s="32"/>
      <c r="G71" s="32"/>
      <c r="H71" s="13"/>
      <c r="I71" s="13"/>
      <c r="J71" s="13"/>
      <c r="K71" s="13"/>
      <c r="L71" s="137">
        <f>SUM($K$73,$K$77,$K$80)</f>
        <v>7900</v>
      </c>
      <c r="M71" s="13"/>
      <c r="N71" s="63"/>
    </row>
    <row r="72" spans="1:14" ht="8.25" customHeight="1" x14ac:dyDescent="0.3">
      <c r="A72" s="62"/>
      <c r="B72" s="9"/>
      <c r="C72" s="9"/>
      <c r="D72" s="9"/>
      <c r="E72" s="10"/>
      <c r="F72" s="49"/>
      <c r="G72" s="5"/>
      <c r="H72" s="143"/>
      <c r="I72" s="37"/>
      <c r="J72" s="143"/>
      <c r="K72" s="143"/>
      <c r="L72" s="143"/>
      <c r="M72" s="143"/>
      <c r="N72" s="63"/>
    </row>
    <row r="73" spans="1:14" x14ac:dyDescent="0.3">
      <c r="A73" s="62"/>
      <c r="B73" s="9"/>
      <c r="C73" s="9"/>
      <c r="D73" s="9"/>
      <c r="E73" s="10"/>
      <c r="F73" s="49" t="s">
        <v>226</v>
      </c>
      <c r="G73" s="5"/>
      <c r="H73" s="143"/>
      <c r="I73" s="37"/>
      <c r="J73" s="143"/>
      <c r="K73" s="136">
        <f>SUM($K$74:$K$75)</f>
        <v>1500</v>
      </c>
      <c r="L73" s="143"/>
      <c r="M73" s="143"/>
      <c r="N73" s="63"/>
    </row>
    <row r="74" spans="1:14" x14ac:dyDescent="0.3">
      <c r="A74" s="62"/>
      <c r="B74" s="9"/>
      <c r="C74" s="9"/>
      <c r="D74" s="9"/>
      <c r="E74" s="10"/>
      <c r="F74" s="134" t="s">
        <v>227</v>
      </c>
      <c r="G74" s="5"/>
      <c r="H74" s="143" t="s">
        <v>219</v>
      </c>
      <c r="I74" s="37">
        <v>2</v>
      </c>
      <c r="J74" s="135">
        <v>600</v>
      </c>
      <c r="K74" s="135">
        <f>J74*I74</f>
        <v>1200</v>
      </c>
      <c r="L74" s="143"/>
      <c r="M74" s="143"/>
      <c r="N74" s="63"/>
    </row>
    <row r="75" spans="1:14" x14ac:dyDescent="0.3">
      <c r="A75" s="62"/>
      <c r="B75" s="9"/>
      <c r="C75" s="9"/>
      <c r="D75" s="9"/>
      <c r="E75" s="10"/>
      <c r="F75" s="7" t="s">
        <v>228</v>
      </c>
      <c r="G75" s="5"/>
      <c r="H75" s="143" t="s">
        <v>219</v>
      </c>
      <c r="I75" s="37">
        <v>1</v>
      </c>
      <c r="J75" s="135">
        <v>300</v>
      </c>
      <c r="K75" s="135">
        <f>J75*I75</f>
        <v>300</v>
      </c>
      <c r="L75" s="143"/>
      <c r="M75" s="143"/>
      <c r="N75" s="63"/>
    </row>
    <row r="76" spans="1:14" ht="7.5" customHeight="1" x14ac:dyDescent="0.3">
      <c r="A76" s="62"/>
      <c r="B76" s="9"/>
      <c r="C76" s="9"/>
      <c r="D76" s="9"/>
      <c r="E76" s="10"/>
      <c r="F76" s="7"/>
      <c r="G76" s="5"/>
      <c r="H76" s="143"/>
      <c r="I76" s="37"/>
      <c r="J76" s="135"/>
      <c r="K76" s="135"/>
      <c r="L76" s="143"/>
      <c r="M76" s="143"/>
      <c r="N76" s="63"/>
    </row>
    <row r="77" spans="1:14" x14ac:dyDescent="0.3">
      <c r="A77" s="62"/>
      <c r="B77" s="9"/>
      <c r="C77" s="9"/>
      <c r="D77" s="9"/>
      <c r="E77" s="10"/>
      <c r="F77" s="49" t="s">
        <v>229</v>
      </c>
      <c r="G77" s="5"/>
      <c r="H77" s="143"/>
      <c r="I77" s="37"/>
      <c r="J77" s="135"/>
      <c r="K77" s="136">
        <f>SUM($K$78:$K$78)</f>
        <v>5000</v>
      </c>
      <c r="L77" s="143"/>
      <c r="M77" s="143"/>
      <c r="N77" s="63"/>
    </row>
    <row r="78" spans="1:14" x14ac:dyDescent="0.3">
      <c r="A78" s="62"/>
      <c r="B78" s="9"/>
      <c r="C78" s="9"/>
      <c r="D78" s="9"/>
      <c r="E78" s="10"/>
      <c r="F78" s="7" t="s">
        <v>230</v>
      </c>
      <c r="G78" s="5"/>
      <c r="H78" s="143" t="s">
        <v>19</v>
      </c>
      <c r="I78" s="37">
        <v>1</v>
      </c>
      <c r="J78" s="135">
        <v>5000</v>
      </c>
      <c r="K78" s="135">
        <f>J78*I78</f>
        <v>5000</v>
      </c>
      <c r="L78" s="143"/>
      <c r="M78" s="143"/>
      <c r="N78" s="63"/>
    </row>
    <row r="79" spans="1:14" ht="7.5" customHeight="1" x14ac:dyDescent="0.3">
      <c r="A79" s="62"/>
      <c r="B79" s="9"/>
      <c r="C79" s="9"/>
      <c r="D79" s="9"/>
      <c r="E79" s="10"/>
      <c r="F79" s="7"/>
      <c r="G79" s="5"/>
      <c r="H79" s="143"/>
      <c r="I79" s="37"/>
      <c r="J79" s="135"/>
      <c r="K79" s="135"/>
      <c r="L79" s="143"/>
      <c r="M79" s="143"/>
      <c r="N79" s="63"/>
    </row>
    <row r="80" spans="1:14" x14ac:dyDescent="0.3">
      <c r="A80" s="62"/>
      <c r="B80" s="9"/>
      <c r="C80" s="9"/>
      <c r="D80" s="9"/>
      <c r="E80" s="10"/>
      <c r="F80" s="49" t="s">
        <v>231</v>
      </c>
      <c r="G80" s="5"/>
      <c r="H80" s="143"/>
      <c r="I80" s="37"/>
      <c r="J80" s="143"/>
      <c r="K80" s="136">
        <f>SUM($K$81:$K$83)</f>
        <v>1400</v>
      </c>
      <c r="L80" s="143"/>
      <c r="M80" s="143"/>
      <c r="N80" s="63"/>
    </row>
    <row r="81" spans="1:14" x14ac:dyDescent="0.3">
      <c r="A81" s="62"/>
      <c r="B81" s="9"/>
      <c r="C81" s="9"/>
      <c r="D81" s="9"/>
      <c r="E81" s="10"/>
      <c r="F81" s="134" t="s">
        <v>232</v>
      </c>
      <c r="G81" s="5"/>
      <c r="H81" s="143" t="s">
        <v>19</v>
      </c>
      <c r="I81" s="37">
        <v>1</v>
      </c>
      <c r="J81" s="135">
        <v>600</v>
      </c>
      <c r="K81" s="135">
        <f t="shared" ref="K81:K83" si="8">J81*I81</f>
        <v>600</v>
      </c>
      <c r="L81" s="143"/>
      <c r="M81" s="143"/>
      <c r="N81" s="63"/>
    </row>
    <row r="82" spans="1:14" x14ac:dyDescent="0.3">
      <c r="A82" s="62"/>
      <c r="B82" s="9"/>
      <c r="C82" s="9"/>
      <c r="D82" s="9"/>
      <c r="E82" s="10"/>
      <c r="F82" s="134" t="s">
        <v>233</v>
      </c>
      <c r="G82" s="5"/>
      <c r="H82" s="143" t="s">
        <v>219</v>
      </c>
      <c r="I82" s="37">
        <v>1</v>
      </c>
      <c r="J82" s="135">
        <v>300</v>
      </c>
      <c r="K82" s="135">
        <f t="shared" si="8"/>
        <v>300</v>
      </c>
      <c r="L82" s="143"/>
      <c r="M82" s="143"/>
      <c r="N82" s="63"/>
    </row>
    <row r="83" spans="1:14" x14ac:dyDescent="0.3">
      <c r="A83" s="62"/>
      <c r="B83" s="9"/>
      <c r="C83" s="9"/>
      <c r="D83" s="9"/>
      <c r="E83" s="10"/>
      <c r="F83" s="7" t="s">
        <v>234</v>
      </c>
      <c r="G83" s="5"/>
      <c r="H83" s="143" t="s">
        <v>219</v>
      </c>
      <c r="I83" s="37">
        <v>1</v>
      </c>
      <c r="J83" s="135">
        <v>500</v>
      </c>
      <c r="K83" s="135">
        <f t="shared" si="8"/>
        <v>500</v>
      </c>
      <c r="L83" s="143"/>
      <c r="M83" s="143"/>
      <c r="N83" s="63"/>
    </row>
    <row r="84" spans="1:14" ht="7.5" customHeight="1" x14ac:dyDescent="0.3">
      <c r="A84" s="62"/>
      <c r="B84" s="9"/>
      <c r="C84" s="9"/>
      <c r="D84" s="9"/>
      <c r="E84" s="10"/>
      <c r="F84" s="19"/>
      <c r="G84" s="19"/>
      <c r="H84" s="142"/>
      <c r="I84" s="43"/>
      <c r="J84" s="60"/>
      <c r="K84" s="60"/>
      <c r="L84" s="142"/>
      <c r="M84" s="142"/>
      <c r="N84" s="63"/>
    </row>
    <row r="85" spans="1:14" x14ac:dyDescent="0.3">
      <c r="A85" s="62"/>
      <c r="B85" s="9"/>
      <c r="C85" s="10"/>
      <c r="D85" s="113">
        <v>8.25</v>
      </c>
      <c r="E85" s="31" t="s">
        <v>235</v>
      </c>
      <c r="F85" s="32"/>
      <c r="G85" s="32"/>
      <c r="H85" s="13"/>
      <c r="I85" s="13"/>
      <c r="J85" s="13"/>
      <c r="K85" s="13"/>
      <c r="L85" s="137">
        <f>SUM($K$87:$K$88)</f>
        <v>800</v>
      </c>
      <c r="M85" s="13"/>
      <c r="N85" s="63"/>
    </row>
    <row r="86" spans="1:14" ht="8.25" customHeight="1" x14ac:dyDescent="0.3">
      <c r="A86" s="62"/>
      <c r="B86" s="9"/>
      <c r="C86" s="9"/>
      <c r="D86" s="9"/>
      <c r="E86" s="10"/>
      <c r="F86" s="49"/>
      <c r="G86" s="5"/>
      <c r="H86" s="143"/>
      <c r="I86" s="37"/>
      <c r="J86" s="143"/>
      <c r="K86" s="143"/>
      <c r="L86" s="143"/>
      <c r="M86" s="143"/>
      <c r="N86" s="63"/>
    </row>
    <row r="87" spans="1:14" x14ac:dyDescent="0.3">
      <c r="A87" s="62"/>
      <c r="B87" s="9"/>
      <c r="C87" s="9"/>
      <c r="D87" s="9"/>
      <c r="E87" s="10"/>
      <c r="F87" s="7" t="s">
        <v>236</v>
      </c>
      <c r="G87" s="5"/>
      <c r="H87" s="143" t="s">
        <v>219</v>
      </c>
      <c r="I87" s="37">
        <v>1</v>
      </c>
      <c r="J87" s="135">
        <v>500</v>
      </c>
      <c r="K87" s="135">
        <f t="shared" ref="K87:K88" si="9">J87*I87</f>
        <v>500</v>
      </c>
      <c r="L87" s="143"/>
      <c r="M87" s="143"/>
      <c r="N87" s="63"/>
    </row>
    <row r="88" spans="1:14" x14ac:dyDescent="0.3">
      <c r="A88" s="62"/>
      <c r="B88" s="9"/>
      <c r="C88" s="9"/>
      <c r="D88" s="9"/>
      <c r="E88" s="10"/>
      <c r="F88" s="7" t="s">
        <v>237</v>
      </c>
      <c r="G88" s="7"/>
      <c r="H88" s="8" t="s">
        <v>219</v>
      </c>
      <c r="I88" s="36">
        <v>3</v>
      </c>
      <c r="J88" s="97">
        <v>100</v>
      </c>
      <c r="K88" s="97">
        <f t="shared" si="9"/>
        <v>300</v>
      </c>
      <c r="L88" s="8"/>
      <c r="M88" s="8"/>
      <c r="N88" s="63"/>
    </row>
    <row r="89" spans="1:14" ht="8.25" customHeight="1" x14ac:dyDescent="0.3">
      <c r="A89" s="62"/>
      <c r="B89" s="9"/>
      <c r="C89" s="9"/>
      <c r="D89" s="9"/>
      <c r="E89" s="10"/>
      <c r="F89" s="157"/>
      <c r="G89" s="19"/>
      <c r="H89" s="142"/>
      <c r="I89" s="43"/>
      <c r="J89" s="142"/>
      <c r="K89" s="142"/>
      <c r="L89" s="142"/>
      <c r="M89" s="142"/>
      <c r="N89" s="63"/>
    </row>
    <row r="90" spans="1:14" x14ac:dyDescent="0.3">
      <c r="A90" s="62"/>
      <c r="B90" s="9"/>
      <c r="C90" s="10"/>
      <c r="D90" s="113">
        <v>8.26</v>
      </c>
      <c r="E90" s="31" t="s">
        <v>238</v>
      </c>
      <c r="F90" s="32"/>
      <c r="G90" s="32"/>
      <c r="H90" s="13"/>
      <c r="I90" s="13"/>
      <c r="J90" s="13"/>
      <c r="K90" s="13"/>
      <c r="L90" s="137">
        <f>SUM($K$92:$K$93)</f>
        <v>4000</v>
      </c>
      <c r="M90" s="13"/>
      <c r="N90" s="63"/>
    </row>
    <row r="91" spans="1:14" ht="8.25" customHeight="1" x14ac:dyDescent="0.3">
      <c r="A91" s="62"/>
      <c r="B91" s="9"/>
      <c r="C91" s="9"/>
      <c r="D91" s="9"/>
      <c r="E91" s="10"/>
      <c r="F91" s="49"/>
      <c r="G91" s="5"/>
      <c r="H91" s="143"/>
      <c r="I91" s="37"/>
      <c r="J91" s="143"/>
      <c r="K91" s="143"/>
      <c r="L91" s="143"/>
      <c r="M91" s="143"/>
      <c r="N91" s="63"/>
    </row>
    <row r="92" spans="1:14" x14ac:dyDescent="0.3">
      <c r="A92" s="62"/>
      <c r="B92" s="9"/>
      <c r="C92" s="9"/>
      <c r="D92" s="9"/>
      <c r="E92" s="10"/>
      <c r="F92" s="7" t="s">
        <v>239</v>
      </c>
      <c r="G92" s="5"/>
      <c r="H92" s="143" t="s">
        <v>219</v>
      </c>
      <c r="I92" s="37">
        <v>2</v>
      </c>
      <c r="J92" s="135">
        <v>500</v>
      </c>
      <c r="K92" s="135">
        <f t="shared" ref="K92:K93" si="10">J92*I92</f>
        <v>1000</v>
      </c>
      <c r="L92" s="143"/>
      <c r="M92" s="143"/>
      <c r="N92" s="63"/>
    </row>
    <row r="93" spans="1:14" x14ac:dyDescent="0.3">
      <c r="A93" s="62"/>
      <c r="B93" s="9"/>
      <c r="C93" s="9"/>
      <c r="D93" s="9"/>
      <c r="E93" s="10"/>
      <c r="F93" s="7" t="s">
        <v>240</v>
      </c>
      <c r="G93" s="5"/>
      <c r="H93" s="143" t="s">
        <v>219</v>
      </c>
      <c r="I93" s="37">
        <v>6</v>
      </c>
      <c r="J93" s="135">
        <v>500</v>
      </c>
      <c r="K93" s="135">
        <f t="shared" si="10"/>
        <v>3000</v>
      </c>
      <c r="L93" s="143"/>
      <c r="M93" s="143"/>
      <c r="N93" s="63"/>
    </row>
    <row r="94" spans="1:14" ht="7.5" customHeight="1" x14ac:dyDescent="0.3">
      <c r="A94" s="62"/>
      <c r="B94" s="9"/>
      <c r="C94" s="9"/>
      <c r="D94" s="9"/>
      <c r="E94" s="10"/>
      <c r="F94" s="19"/>
      <c r="G94" s="10"/>
      <c r="H94" s="28"/>
      <c r="I94" s="117"/>
      <c r="J94" s="154"/>
      <c r="K94" s="154"/>
      <c r="L94" s="28"/>
      <c r="M94" s="28"/>
      <c r="N94" s="63"/>
    </row>
    <row r="95" spans="1:14" x14ac:dyDescent="0.3">
      <c r="A95" s="62"/>
      <c r="B95" s="9"/>
      <c r="C95" s="65">
        <v>8.3000000000000007</v>
      </c>
      <c r="D95" s="65" t="s">
        <v>241</v>
      </c>
      <c r="E95" s="67"/>
      <c r="F95" s="29"/>
      <c r="G95" s="29"/>
      <c r="H95" s="68"/>
      <c r="I95" s="68"/>
      <c r="J95" s="68"/>
      <c r="K95" s="68"/>
      <c r="L95" s="68"/>
      <c r="M95" s="137">
        <f>$L$97+$L$102</f>
        <v>34800</v>
      </c>
      <c r="N95" s="63"/>
    </row>
    <row r="96" spans="1:14" ht="7.5" customHeight="1" x14ac:dyDescent="0.3">
      <c r="A96" s="62"/>
      <c r="B96" s="9"/>
      <c r="C96" s="69"/>
      <c r="D96" s="9"/>
      <c r="E96" s="70"/>
      <c r="F96" s="10"/>
      <c r="G96" s="10"/>
      <c r="H96" s="28"/>
      <c r="I96" s="28"/>
      <c r="J96" s="28"/>
      <c r="K96" s="28"/>
      <c r="L96" s="28"/>
      <c r="M96" s="69"/>
      <c r="N96" s="63"/>
    </row>
    <row r="97" spans="1:14" x14ac:dyDescent="0.3">
      <c r="A97" s="62"/>
      <c r="B97" s="9"/>
      <c r="C97" s="10"/>
      <c r="D97" s="113">
        <v>8.31</v>
      </c>
      <c r="E97" s="31" t="s">
        <v>242</v>
      </c>
      <c r="F97" s="32"/>
      <c r="G97" s="32"/>
      <c r="H97" s="13"/>
      <c r="I97" s="13"/>
      <c r="J97" s="13"/>
      <c r="K97" s="13"/>
      <c r="L97" s="137">
        <f>SUM(K99:K100)</f>
        <v>33000</v>
      </c>
      <c r="M97" s="13"/>
      <c r="N97" s="63"/>
    </row>
    <row r="98" spans="1:14" ht="8.25" customHeight="1" x14ac:dyDescent="0.3">
      <c r="A98" s="62"/>
      <c r="B98" s="9"/>
      <c r="C98" s="9"/>
      <c r="D98" s="9"/>
      <c r="E98" s="10"/>
      <c r="F98" s="49"/>
      <c r="G98" s="5"/>
      <c r="H98" s="143"/>
      <c r="I98" s="37"/>
      <c r="J98" s="143"/>
      <c r="K98" s="143"/>
      <c r="L98" s="143"/>
      <c r="M98" s="143"/>
      <c r="N98" s="63"/>
    </row>
    <row r="99" spans="1:14" x14ac:dyDescent="0.3">
      <c r="A99" s="62"/>
      <c r="B99" s="9"/>
      <c r="C99" s="9"/>
      <c r="D99" s="9"/>
      <c r="E99" s="10"/>
      <c r="F99" s="134" t="s">
        <v>243</v>
      </c>
      <c r="G99" s="5"/>
      <c r="H99" s="143" t="s">
        <v>175</v>
      </c>
      <c r="I99" s="37">
        <v>10</v>
      </c>
      <c r="J99" s="135">
        <v>3000</v>
      </c>
      <c r="K99" s="135">
        <f>I99*J99</f>
        <v>30000</v>
      </c>
      <c r="L99" s="143"/>
      <c r="M99" s="143"/>
      <c r="N99" s="63"/>
    </row>
    <row r="100" spans="1:14" x14ac:dyDescent="0.3">
      <c r="A100" s="62"/>
      <c r="B100" s="9"/>
      <c r="C100" s="9"/>
      <c r="D100" s="9"/>
      <c r="E100" s="10"/>
      <c r="F100" s="7" t="s">
        <v>244</v>
      </c>
      <c r="G100" s="5"/>
      <c r="H100" s="143" t="s">
        <v>175</v>
      </c>
      <c r="I100" s="37">
        <v>6</v>
      </c>
      <c r="J100" s="135">
        <v>500</v>
      </c>
      <c r="K100" s="135">
        <f>I100*J100</f>
        <v>3000</v>
      </c>
      <c r="L100" s="143"/>
      <c r="M100" s="143"/>
      <c r="N100" s="63"/>
    </row>
    <row r="101" spans="1:14" s="10" customFormat="1" ht="8.25" customHeight="1" x14ac:dyDescent="0.3">
      <c r="A101" s="62"/>
      <c r="B101" s="9"/>
      <c r="C101" s="9"/>
      <c r="D101" s="9"/>
      <c r="F101" s="77"/>
      <c r="H101" s="28"/>
      <c r="I101" s="117"/>
      <c r="J101" s="28"/>
      <c r="K101" s="28"/>
      <c r="L101" s="28"/>
      <c r="M101" s="28"/>
      <c r="N101" s="63"/>
    </row>
    <row r="102" spans="1:14" x14ac:dyDescent="0.3">
      <c r="A102" s="62"/>
      <c r="B102" s="9"/>
      <c r="C102" s="10"/>
      <c r="D102" s="113">
        <v>8.32</v>
      </c>
      <c r="E102" s="31" t="s">
        <v>226</v>
      </c>
      <c r="F102" s="32"/>
      <c r="G102" s="32"/>
      <c r="H102" s="13"/>
      <c r="I102" s="13"/>
      <c r="J102" s="13"/>
      <c r="K102" s="13"/>
      <c r="L102" s="137">
        <f>SUM(K104:K105)</f>
        <v>1800</v>
      </c>
      <c r="M102" s="13"/>
      <c r="N102" s="63"/>
    </row>
    <row r="103" spans="1:14" ht="8.25" customHeight="1" x14ac:dyDescent="0.3">
      <c r="A103" s="62"/>
      <c r="B103" s="9"/>
      <c r="C103" s="9"/>
      <c r="D103" s="9"/>
      <c r="E103" s="10"/>
      <c r="F103" s="49"/>
      <c r="G103" s="5"/>
      <c r="H103" s="143"/>
      <c r="I103" s="37"/>
      <c r="J103" s="143"/>
      <c r="K103" s="143"/>
      <c r="L103" s="143"/>
      <c r="M103" s="143"/>
      <c r="N103" s="63"/>
    </row>
    <row r="104" spans="1:14" x14ac:dyDescent="0.3">
      <c r="A104" s="62"/>
      <c r="B104" s="9"/>
      <c r="C104" s="9"/>
      <c r="D104" s="9"/>
      <c r="E104" s="10"/>
      <c r="F104" s="134" t="s">
        <v>227</v>
      </c>
      <c r="G104" s="5"/>
      <c r="H104" s="143" t="s">
        <v>219</v>
      </c>
      <c r="I104" s="37">
        <v>2</v>
      </c>
      <c r="J104" s="135">
        <v>600</v>
      </c>
      <c r="K104" s="135">
        <f>I104*J104</f>
        <v>1200</v>
      </c>
      <c r="L104" s="143"/>
      <c r="M104" s="143"/>
      <c r="N104" s="63"/>
    </row>
    <row r="105" spans="1:14" x14ac:dyDescent="0.3">
      <c r="A105" s="62"/>
      <c r="B105" s="9"/>
      <c r="C105" s="9"/>
      <c r="D105" s="9"/>
      <c r="E105" s="10"/>
      <c r="F105" s="7" t="s">
        <v>228</v>
      </c>
      <c r="G105" s="5"/>
      <c r="H105" s="143" t="s">
        <v>219</v>
      </c>
      <c r="I105" s="37">
        <v>1</v>
      </c>
      <c r="J105" s="135">
        <v>600</v>
      </c>
      <c r="K105" s="135">
        <f>I105*J105</f>
        <v>600</v>
      </c>
      <c r="L105" s="143"/>
      <c r="M105" s="143"/>
      <c r="N105" s="63"/>
    </row>
    <row r="106" spans="1:14" s="10" customFormat="1" ht="8.25" customHeight="1" x14ac:dyDescent="0.3">
      <c r="A106" s="62"/>
      <c r="B106" s="9"/>
      <c r="C106" s="9"/>
      <c r="D106" s="9"/>
      <c r="F106" s="77"/>
      <c r="H106" s="28"/>
      <c r="I106" s="117"/>
      <c r="J106" s="28"/>
      <c r="K106" s="28"/>
      <c r="L106" s="28"/>
      <c r="M106" s="28"/>
      <c r="N106" s="63"/>
    </row>
    <row r="107" spans="1:14" x14ac:dyDescent="0.3">
      <c r="A107" s="62"/>
      <c r="B107" s="9"/>
      <c r="C107" s="65">
        <v>8.4</v>
      </c>
      <c r="D107" s="65" t="s">
        <v>245</v>
      </c>
      <c r="E107" s="67"/>
      <c r="F107" s="29"/>
      <c r="G107" s="29"/>
      <c r="H107" s="68"/>
      <c r="I107" s="68"/>
      <c r="J107" s="68"/>
      <c r="K107" s="68"/>
      <c r="L107" s="68"/>
      <c r="M107" s="137">
        <f>$L$109+$L$115</f>
        <v>30200</v>
      </c>
      <c r="N107" s="63"/>
    </row>
    <row r="108" spans="1:14" ht="7.5" customHeight="1" x14ac:dyDescent="0.3">
      <c r="A108" s="62"/>
      <c r="B108" s="9"/>
      <c r="C108" s="69"/>
      <c r="D108" s="9"/>
      <c r="E108" s="70"/>
      <c r="F108" s="10"/>
      <c r="G108" s="10"/>
      <c r="H108" s="28"/>
      <c r="I108" s="28"/>
      <c r="J108" s="28"/>
      <c r="K108" s="28"/>
      <c r="L108" s="28"/>
      <c r="M108" s="69"/>
      <c r="N108" s="63"/>
    </row>
    <row r="109" spans="1:14" x14ac:dyDescent="0.3">
      <c r="A109" s="62"/>
      <c r="B109" s="9"/>
      <c r="C109" s="10"/>
      <c r="D109" s="113">
        <v>8.41</v>
      </c>
      <c r="E109" s="31" t="s">
        <v>242</v>
      </c>
      <c r="F109" s="32"/>
      <c r="G109" s="32"/>
      <c r="H109" s="13"/>
      <c r="I109" s="13"/>
      <c r="J109" s="13"/>
      <c r="K109" s="13"/>
      <c r="L109" s="137">
        <f>SUM($K$111:$K$113)</f>
        <v>29000</v>
      </c>
      <c r="M109" s="13"/>
      <c r="N109" s="63"/>
    </row>
    <row r="110" spans="1:14" ht="8.25" customHeight="1" x14ac:dyDescent="0.3">
      <c r="A110" s="62"/>
      <c r="B110" s="9"/>
      <c r="C110" s="9"/>
      <c r="D110" s="9"/>
      <c r="E110" s="10"/>
      <c r="F110" s="49"/>
      <c r="G110" s="5"/>
      <c r="H110" s="143"/>
      <c r="I110" s="37"/>
      <c r="J110" s="143"/>
      <c r="K110" s="143"/>
      <c r="L110" s="143"/>
      <c r="M110" s="143"/>
      <c r="N110" s="63"/>
    </row>
    <row r="111" spans="1:14" x14ac:dyDescent="0.3">
      <c r="A111" s="62"/>
      <c r="B111" s="9"/>
      <c r="C111" s="9"/>
      <c r="D111" s="9"/>
      <c r="E111" s="10"/>
      <c r="F111" s="134" t="s">
        <v>246</v>
      </c>
      <c r="G111" s="5"/>
      <c r="H111" s="143" t="s">
        <v>175</v>
      </c>
      <c r="I111" s="37">
        <v>2</v>
      </c>
      <c r="J111" s="135">
        <v>3000</v>
      </c>
      <c r="K111" s="135">
        <f>I111*J111</f>
        <v>6000</v>
      </c>
      <c r="L111" s="143"/>
      <c r="M111" s="143"/>
      <c r="N111" s="63"/>
    </row>
    <row r="112" spans="1:14" x14ac:dyDescent="0.3">
      <c r="A112" s="62"/>
      <c r="B112" s="9"/>
      <c r="C112" s="9"/>
      <c r="D112" s="9"/>
      <c r="E112" s="10"/>
      <c r="F112" s="134" t="s">
        <v>247</v>
      </c>
      <c r="G112" s="5"/>
      <c r="H112" s="143" t="s">
        <v>175</v>
      </c>
      <c r="I112" s="37">
        <v>10</v>
      </c>
      <c r="J112" s="135">
        <v>2000</v>
      </c>
      <c r="K112" s="135">
        <f>I112*J112</f>
        <v>20000</v>
      </c>
      <c r="L112" s="143"/>
      <c r="M112" s="143"/>
      <c r="N112" s="63"/>
    </row>
    <row r="113" spans="1:14" x14ac:dyDescent="0.3">
      <c r="A113" s="62"/>
      <c r="B113" s="9"/>
      <c r="C113" s="9"/>
      <c r="D113" s="9"/>
      <c r="E113" s="10"/>
      <c r="F113" s="7" t="s">
        <v>244</v>
      </c>
      <c r="G113" s="5"/>
      <c r="H113" s="143" t="s">
        <v>175</v>
      </c>
      <c r="I113" s="37">
        <v>5</v>
      </c>
      <c r="J113" s="135">
        <v>600</v>
      </c>
      <c r="K113" s="135">
        <f>I113*J113</f>
        <v>3000</v>
      </c>
      <c r="L113" s="143"/>
      <c r="M113" s="143"/>
      <c r="N113" s="63"/>
    </row>
    <row r="114" spans="1:14" s="10" customFormat="1" ht="8.25" customHeight="1" x14ac:dyDescent="0.3">
      <c r="A114" s="62"/>
      <c r="B114" s="9"/>
      <c r="C114" s="9"/>
      <c r="D114" s="9"/>
      <c r="F114" s="77"/>
      <c r="H114" s="28"/>
      <c r="I114" s="117"/>
      <c r="J114" s="28"/>
      <c r="K114" s="28"/>
      <c r="L114" s="28"/>
      <c r="M114" s="28"/>
      <c r="N114" s="63"/>
    </row>
    <row r="115" spans="1:14" x14ac:dyDescent="0.3">
      <c r="A115" s="62"/>
      <c r="B115" s="9"/>
      <c r="C115" s="10"/>
      <c r="D115" s="113">
        <v>8.42</v>
      </c>
      <c r="E115" s="31" t="s">
        <v>226</v>
      </c>
      <c r="F115" s="32"/>
      <c r="G115" s="32"/>
      <c r="H115" s="13"/>
      <c r="I115" s="13"/>
      <c r="J115" s="13"/>
      <c r="K115" s="13"/>
      <c r="L115" s="137">
        <f>SUM(K117:K118)</f>
        <v>1200</v>
      </c>
      <c r="M115" s="13"/>
      <c r="N115" s="63"/>
    </row>
    <row r="116" spans="1:14" ht="8.25" customHeight="1" x14ac:dyDescent="0.3">
      <c r="A116" s="62"/>
      <c r="B116" s="9"/>
      <c r="C116" s="9"/>
      <c r="D116" s="9"/>
      <c r="E116" s="10"/>
      <c r="F116" s="49"/>
      <c r="G116" s="5"/>
      <c r="H116" s="143"/>
      <c r="I116" s="37"/>
      <c r="J116" s="143"/>
      <c r="K116" s="143"/>
      <c r="L116" s="143"/>
      <c r="M116" s="143"/>
      <c r="N116" s="63"/>
    </row>
    <row r="117" spans="1:14" x14ac:dyDescent="0.3">
      <c r="A117" s="62"/>
      <c r="B117" s="9"/>
      <c r="C117" s="9"/>
      <c r="D117" s="9"/>
      <c r="E117" s="10"/>
      <c r="F117" s="134" t="s">
        <v>227</v>
      </c>
      <c r="G117" s="5"/>
      <c r="H117" s="143" t="s">
        <v>219</v>
      </c>
      <c r="I117" s="37">
        <v>2</v>
      </c>
      <c r="J117" s="135">
        <v>400</v>
      </c>
      <c r="K117" s="135">
        <f>I117*J117</f>
        <v>800</v>
      </c>
      <c r="L117" s="143"/>
      <c r="M117" s="143"/>
      <c r="N117" s="63"/>
    </row>
    <row r="118" spans="1:14" x14ac:dyDescent="0.3">
      <c r="A118" s="62"/>
      <c r="B118" s="9"/>
      <c r="C118" s="9"/>
      <c r="D118" s="9"/>
      <c r="E118" s="10"/>
      <c r="F118" s="7" t="s">
        <v>228</v>
      </c>
      <c r="G118" s="5"/>
      <c r="H118" s="143" t="s">
        <v>219</v>
      </c>
      <c r="I118" s="37">
        <v>1</v>
      </c>
      <c r="J118" s="135">
        <v>400</v>
      </c>
      <c r="K118" s="135">
        <f>I118*J118</f>
        <v>400</v>
      </c>
      <c r="L118" s="143"/>
      <c r="M118" s="143"/>
      <c r="N118" s="63"/>
    </row>
    <row r="119" spans="1:14" s="10" customFormat="1" ht="8.25" customHeight="1" x14ac:dyDescent="0.3">
      <c r="A119" s="62"/>
      <c r="B119" s="9"/>
      <c r="C119" s="9"/>
      <c r="D119" s="9"/>
      <c r="F119" s="77"/>
      <c r="H119" s="28"/>
      <c r="I119" s="117"/>
      <c r="J119" s="28"/>
      <c r="K119" s="28"/>
      <c r="L119" s="28"/>
      <c r="M119" s="28"/>
      <c r="N119" s="63"/>
    </row>
    <row r="120" spans="1:14" x14ac:dyDescent="0.3">
      <c r="A120" s="62"/>
      <c r="B120" s="9"/>
      <c r="C120" s="65">
        <v>8.5</v>
      </c>
      <c r="D120" s="65" t="s">
        <v>248</v>
      </c>
      <c r="E120" s="67"/>
      <c r="F120" s="29"/>
      <c r="G120" s="29"/>
      <c r="H120" s="68"/>
      <c r="I120" s="68"/>
      <c r="J120" s="68"/>
      <c r="K120" s="68"/>
      <c r="L120" s="68"/>
      <c r="M120" s="137">
        <f>$L$122+$L$128</f>
        <v>21125</v>
      </c>
      <c r="N120" s="63"/>
    </row>
    <row r="121" spans="1:14" ht="7.5" customHeight="1" x14ac:dyDescent="0.3">
      <c r="A121" s="62"/>
      <c r="B121" s="9"/>
      <c r="C121" s="69"/>
      <c r="D121" s="9"/>
      <c r="E121" s="70"/>
      <c r="F121" s="10"/>
      <c r="G121" s="10"/>
      <c r="H121" s="28"/>
      <c r="I121" s="28"/>
      <c r="J121" s="28"/>
      <c r="K121" s="28"/>
      <c r="L121" s="28"/>
      <c r="M121" s="69"/>
      <c r="N121" s="63"/>
    </row>
    <row r="122" spans="1:14" x14ac:dyDescent="0.3">
      <c r="A122" s="62"/>
      <c r="B122" s="9"/>
      <c r="C122" s="10"/>
      <c r="D122" s="113">
        <v>8.51</v>
      </c>
      <c r="E122" s="31" t="s">
        <v>250</v>
      </c>
      <c r="F122" s="32"/>
      <c r="G122" s="32"/>
      <c r="H122" s="13"/>
      <c r="I122" s="13"/>
      <c r="J122" s="13"/>
      <c r="K122" s="13"/>
      <c r="L122" s="137">
        <f>SUM($K$124:$K$126)</f>
        <v>14000</v>
      </c>
      <c r="M122" s="13"/>
      <c r="N122" s="63"/>
    </row>
    <row r="123" spans="1:14" ht="8.25" customHeight="1" x14ac:dyDescent="0.3">
      <c r="A123" s="62"/>
      <c r="B123" s="9"/>
      <c r="C123" s="9"/>
      <c r="D123" s="9"/>
      <c r="E123" s="10"/>
      <c r="F123" s="49"/>
      <c r="G123" s="5"/>
      <c r="H123" s="143"/>
      <c r="I123" s="37"/>
      <c r="J123" s="143"/>
      <c r="K123" s="143"/>
      <c r="L123" s="143"/>
      <c r="M123" s="143"/>
      <c r="N123" s="63"/>
    </row>
    <row r="124" spans="1:14" x14ac:dyDescent="0.3">
      <c r="A124" s="62"/>
      <c r="B124" s="9"/>
      <c r="C124" s="9"/>
      <c r="D124" s="9"/>
      <c r="E124" s="10"/>
      <c r="F124" s="134" t="s">
        <v>179</v>
      </c>
      <c r="G124" s="5"/>
      <c r="H124" s="143" t="s">
        <v>19</v>
      </c>
      <c r="I124" s="37">
        <v>1</v>
      </c>
      <c r="J124" s="135">
        <v>4000</v>
      </c>
      <c r="K124" s="135">
        <f>I124*J124</f>
        <v>4000</v>
      </c>
      <c r="L124" s="143"/>
      <c r="M124" s="143"/>
      <c r="N124" s="63"/>
    </row>
    <row r="125" spans="1:14" x14ac:dyDescent="0.3">
      <c r="A125" s="62"/>
      <c r="B125" s="9"/>
      <c r="C125" s="9"/>
      <c r="D125" s="9"/>
      <c r="E125" s="10"/>
      <c r="F125" s="134" t="s">
        <v>180</v>
      </c>
      <c r="G125" s="5"/>
      <c r="H125" s="143" t="s">
        <v>19</v>
      </c>
      <c r="I125" s="37">
        <v>1</v>
      </c>
      <c r="J125" s="135">
        <v>8000</v>
      </c>
      <c r="K125" s="135">
        <f>I125*J125</f>
        <v>8000</v>
      </c>
      <c r="L125" s="143"/>
      <c r="M125" s="143"/>
      <c r="N125" s="63"/>
    </row>
    <row r="126" spans="1:14" x14ac:dyDescent="0.3">
      <c r="A126" s="62"/>
      <c r="B126" s="9"/>
      <c r="C126" s="9"/>
      <c r="D126" s="9"/>
      <c r="E126" s="10"/>
      <c r="F126" s="7" t="s">
        <v>181</v>
      </c>
      <c r="G126" s="5"/>
      <c r="H126" s="143" t="s">
        <v>19</v>
      </c>
      <c r="I126" s="37">
        <v>1</v>
      </c>
      <c r="J126" s="135">
        <v>2000</v>
      </c>
      <c r="K126" s="135">
        <f>I126*J126</f>
        <v>2000</v>
      </c>
      <c r="L126" s="143"/>
      <c r="M126" s="143"/>
      <c r="N126" s="63"/>
    </row>
    <row r="127" spans="1:14" s="10" customFormat="1" ht="8.25" customHeight="1" x14ac:dyDescent="0.3">
      <c r="A127" s="62"/>
      <c r="B127" s="9"/>
      <c r="C127" s="9"/>
      <c r="D127" s="9"/>
      <c r="F127" s="77"/>
      <c r="H127" s="28"/>
      <c r="I127" s="117"/>
      <c r="J127" s="28"/>
      <c r="K127" s="28"/>
      <c r="L127" s="28"/>
      <c r="M127" s="28"/>
      <c r="N127" s="63"/>
    </row>
    <row r="128" spans="1:14" x14ac:dyDescent="0.3">
      <c r="A128" s="62"/>
      <c r="B128" s="9"/>
      <c r="C128" s="10"/>
      <c r="D128" s="113">
        <v>8.52</v>
      </c>
      <c r="E128" s="31" t="s">
        <v>251</v>
      </c>
      <c r="F128" s="32"/>
      <c r="G128" s="32"/>
      <c r="H128" s="13"/>
      <c r="I128" s="13"/>
      <c r="J128" s="13"/>
      <c r="K128" s="13"/>
      <c r="L128" s="137">
        <f>SUM(K130:K132)</f>
        <v>7125</v>
      </c>
      <c r="M128" s="13"/>
      <c r="N128" s="63"/>
    </row>
    <row r="129" spans="1:14" ht="8.25" customHeight="1" x14ac:dyDescent="0.3">
      <c r="A129" s="62"/>
      <c r="B129" s="9"/>
      <c r="C129" s="9"/>
      <c r="D129" s="9"/>
      <c r="E129" s="10"/>
      <c r="F129" s="49"/>
      <c r="G129" s="5"/>
      <c r="H129" s="143"/>
      <c r="I129" s="37"/>
      <c r="J129" s="143"/>
      <c r="K129" s="143"/>
      <c r="L129" s="143"/>
      <c r="M129" s="143"/>
      <c r="N129" s="63"/>
    </row>
    <row r="130" spans="1:14" x14ac:dyDescent="0.3">
      <c r="A130" s="62"/>
      <c r="B130" s="9"/>
      <c r="C130" s="9"/>
      <c r="D130" s="9"/>
      <c r="E130" s="10"/>
      <c r="F130" s="134" t="s">
        <v>249</v>
      </c>
      <c r="G130" s="5"/>
      <c r="H130" s="143" t="s">
        <v>219</v>
      </c>
      <c r="I130" s="37">
        <v>95</v>
      </c>
      <c r="J130" s="135">
        <v>5</v>
      </c>
      <c r="K130" s="135">
        <f>I130*J130</f>
        <v>475</v>
      </c>
      <c r="L130" s="143"/>
      <c r="M130" s="143"/>
      <c r="N130" s="63"/>
    </row>
    <row r="131" spans="1:14" x14ac:dyDescent="0.3">
      <c r="A131" s="62"/>
      <c r="B131" s="9"/>
      <c r="C131" s="9"/>
      <c r="D131" s="9"/>
      <c r="E131" s="10"/>
      <c r="F131" s="134" t="s">
        <v>265</v>
      </c>
      <c r="G131" s="5"/>
      <c r="H131" s="143" t="s">
        <v>219</v>
      </c>
      <c r="I131" s="37">
        <v>95</v>
      </c>
      <c r="J131" s="135">
        <v>40</v>
      </c>
      <c r="K131" s="135">
        <f>I131*J131</f>
        <v>3800</v>
      </c>
      <c r="L131" s="143"/>
      <c r="M131" s="143"/>
      <c r="N131" s="63"/>
    </row>
    <row r="132" spans="1:14" x14ac:dyDescent="0.3">
      <c r="A132" s="62"/>
      <c r="B132" s="9"/>
      <c r="C132" s="9"/>
      <c r="D132" s="9"/>
      <c r="E132" s="10"/>
      <c r="F132" s="7" t="s">
        <v>252</v>
      </c>
      <c r="G132" s="5"/>
      <c r="H132" s="143" t="s">
        <v>219</v>
      </c>
      <c r="I132" s="37">
        <v>95</v>
      </c>
      <c r="J132" s="135">
        <v>30</v>
      </c>
      <c r="K132" s="135">
        <f>I132*J132</f>
        <v>2850</v>
      </c>
      <c r="L132" s="143"/>
      <c r="M132" s="143"/>
      <c r="N132" s="63"/>
    </row>
    <row r="133" spans="1:14" s="10" customFormat="1" ht="8.25" customHeight="1" x14ac:dyDescent="0.3">
      <c r="A133" s="62"/>
      <c r="B133" s="9"/>
      <c r="C133" s="9"/>
      <c r="D133" s="9"/>
      <c r="F133" s="77"/>
      <c r="H133" s="28"/>
      <c r="I133" s="117"/>
      <c r="J133" s="28"/>
      <c r="K133" s="28"/>
      <c r="L133" s="28"/>
      <c r="M133" s="28"/>
      <c r="N133" s="63"/>
    </row>
    <row r="134" spans="1:14" x14ac:dyDescent="0.3">
      <c r="A134" s="62"/>
      <c r="B134" s="9"/>
      <c r="C134" s="65">
        <v>8.6</v>
      </c>
      <c r="D134" s="65" t="s">
        <v>231</v>
      </c>
      <c r="E134" s="67"/>
      <c r="F134" s="29"/>
      <c r="G134" s="29"/>
      <c r="H134" s="68"/>
      <c r="I134" s="68"/>
      <c r="J134" s="68"/>
      <c r="K134" s="68"/>
      <c r="L134" s="68"/>
      <c r="M134" s="137">
        <f>$L$136</f>
        <v>1000</v>
      </c>
      <c r="N134" s="63"/>
    </row>
    <row r="135" spans="1:14" ht="7.5" customHeight="1" x14ac:dyDescent="0.3">
      <c r="A135" s="62"/>
      <c r="B135" s="9"/>
      <c r="C135" s="69"/>
      <c r="D135" s="9"/>
      <c r="E135" s="70"/>
      <c r="F135" s="10"/>
      <c r="G135" s="10"/>
      <c r="H135" s="28"/>
      <c r="I135" s="28"/>
      <c r="J135" s="28"/>
      <c r="K135" s="28"/>
      <c r="L135" s="28"/>
      <c r="M135" s="69"/>
      <c r="N135" s="63"/>
    </row>
    <row r="136" spans="1:14" x14ac:dyDescent="0.3">
      <c r="A136" s="62"/>
      <c r="B136" s="9"/>
      <c r="C136" s="10"/>
      <c r="D136" s="113">
        <v>8.61</v>
      </c>
      <c r="E136" s="31" t="s">
        <v>253</v>
      </c>
      <c r="F136" s="32"/>
      <c r="G136" s="32"/>
      <c r="H136" s="13"/>
      <c r="I136" s="13"/>
      <c r="J136" s="13"/>
      <c r="K136" s="13"/>
      <c r="L136" s="137">
        <f>SUM($K$138)</f>
        <v>1000</v>
      </c>
      <c r="M136" s="13"/>
      <c r="N136" s="63"/>
    </row>
    <row r="137" spans="1:14" ht="8.25" customHeight="1" x14ac:dyDescent="0.3">
      <c r="A137" s="62"/>
      <c r="B137" s="9"/>
      <c r="C137" s="9"/>
      <c r="D137" s="9"/>
      <c r="E137" s="10"/>
      <c r="F137" s="49"/>
      <c r="G137" s="5"/>
      <c r="H137" s="143"/>
      <c r="I137" s="37"/>
      <c r="J137" s="143"/>
      <c r="K137" s="143"/>
      <c r="L137" s="143"/>
      <c r="M137" s="143"/>
      <c r="N137" s="63"/>
    </row>
    <row r="138" spans="1:14" x14ac:dyDescent="0.3">
      <c r="A138" s="62"/>
      <c r="B138" s="9"/>
      <c r="C138" s="9"/>
      <c r="D138" s="9"/>
      <c r="E138" s="10"/>
      <c r="F138" s="134" t="s">
        <v>254</v>
      </c>
      <c r="G138" s="5"/>
      <c r="H138" s="143" t="s">
        <v>219</v>
      </c>
      <c r="I138" s="37">
        <v>1</v>
      </c>
      <c r="J138" s="135">
        <v>1000</v>
      </c>
      <c r="K138" s="135">
        <f>I138*J138</f>
        <v>1000</v>
      </c>
      <c r="L138" s="143"/>
      <c r="M138" s="143"/>
      <c r="N138" s="63"/>
    </row>
    <row r="139" spans="1:14" s="10" customFormat="1" ht="8.25" customHeight="1" x14ac:dyDescent="0.3">
      <c r="A139" s="62"/>
      <c r="B139" s="9"/>
      <c r="C139" s="9"/>
      <c r="D139" s="9"/>
      <c r="F139" s="77"/>
      <c r="H139" s="28"/>
      <c r="I139" s="117"/>
      <c r="J139" s="28"/>
      <c r="K139" s="28"/>
      <c r="L139" s="28"/>
      <c r="M139" s="28"/>
      <c r="N139" s="63"/>
    </row>
    <row r="140" spans="1:14" x14ac:dyDescent="0.3">
      <c r="A140" s="62"/>
      <c r="B140" s="9"/>
      <c r="C140" s="65">
        <v>8.6999999999999993</v>
      </c>
      <c r="D140" s="65" t="s">
        <v>255</v>
      </c>
      <c r="E140" s="67"/>
      <c r="F140" s="29"/>
      <c r="G140" s="29"/>
      <c r="H140" s="68"/>
      <c r="I140" s="68"/>
      <c r="J140" s="68"/>
      <c r="K140" s="68"/>
      <c r="L140" s="68"/>
      <c r="M140" s="137">
        <f>$L$142+$L$147</f>
        <v>84150</v>
      </c>
      <c r="N140" s="63"/>
    </row>
    <row r="141" spans="1:14" ht="7.5" customHeight="1" x14ac:dyDescent="0.3">
      <c r="A141" s="62"/>
      <c r="B141" s="9"/>
      <c r="C141" s="69"/>
      <c r="D141" s="9"/>
      <c r="E141" s="70"/>
      <c r="F141" s="10"/>
      <c r="G141" s="10"/>
      <c r="H141" s="28"/>
      <c r="I141" s="28"/>
      <c r="J141" s="28"/>
      <c r="K141" s="28"/>
      <c r="L141" s="28"/>
      <c r="M141" s="69"/>
      <c r="N141" s="63"/>
    </row>
    <row r="142" spans="1:14" x14ac:dyDescent="0.3">
      <c r="A142" s="62"/>
      <c r="B142" s="9"/>
      <c r="C142" s="10"/>
      <c r="D142" s="113">
        <v>8.7100000000000009</v>
      </c>
      <c r="E142" s="31" t="s">
        <v>256</v>
      </c>
      <c r="F142" s="32"/>
      <c r="G142" s="32"/>
      <c r="H142" s="13"/>
      <c r="I142" s="13"/>
      <c r="J142" s="13"/>
      <c r="K142" s="13"/>
      <c r="L142" s="137">
        <f>SUM($K$144:$K$145)</f>
        <v>41400</v>
      </c>
      <c r="M142" s="13"/>
      <c r="N142" s="63"/>
    </row>
    <row r="143" spans="1:14" ht="8.25" customHeight="1" x14ac:dyDescent="0.3">
      <c r="A143" s="62"/>
      <c r="B143" s="9"/>
      <c r="C143" s="9"/>
      <c r="D143" s="9"/>
      <c r="E143" s="10"/>
      <c r="F143" s="49"/>
      <c r="G143" s="5"/>
      <c r="H143" s="143"/>
      <c r="I143" s="37"/>
      <c r="J143" s="143"/>
      <c r="K143" s="143"/>
      <c r="L143" s="143"/>
      <c r="M143" s="143"/>
      <c r="N143" s="63"/>
    </row>
    <row r="144" spans="1:14" x14ac:dyDescent="0.3">
      <c r="A144" s="62"/>
      <c r="B144" s="9"/>
      <c r="C144" s="9"/>
      <c r="D144" s="9"/>
      <c r="E144" s="10"/>
      <c r="F144" s="134" t="s">
        <v>257</v>
      </c>
      <c r="G144" s="5"/>
      <c r="H144" s="143" t="s">
        <v>175</v>
      </c>
      <c r="I144" s="37">
        <f>$M$2</f>
        <v>23</v>
      </c>
      <c r="J144" s="135">
        <v>800</v>
      </c>
      <c r="K144" s="135">
        <f>I144*J144</f>
        <v>18400</v>
      </c>
      <c r="L144" s="143"/>
      <c r="M144" s="143"/>
      <c r="N144" s="63"/>
    </row>
    <row r="145" spans="1:14" x14ac:dyDescent="0.3">
      <c r="A145" s="62"/>
      <c r="B145" s="9"/>
      <c r="C145" s="9"/>
      <c r="D145" s="9"/>
      <c r="E145" s="10"/>
      <c r="F145" s="134" t="s">
        <v>258</v>
      </c>
      <c r="G145" s="5"/>
      <c r="H145" s="143" t="s">
        <v>175</v>
      </c>
      <c r="I145" s="37">
        <f>$M$2</f>
        <v>23</v>
      </c>
      <c r="J145" s="135">
        <v>1000</v>
      </c>
      <c r="K145" s="135">
        <f>I145*J145</f>
        <v>23000</v>
      </c>
      <c r="L145" s="143"/>
      <c r="M145" s="143"/>
      <c r="N145" s="63"/>
    </row>
    <row r="146" spans="1:14" s="10" customFormat="1" ht="8.25" customHeight="1" x14ac:dyDescent="0.3">
      <c r="A146" s="62"/>
      <c r="B146" s="9"/>
      <c r="C146" s="9"/>
      <c r="D146" s="9"/>
      <c r="F146" s="77"/>
      <c r="H146" s="28"/>
      <c r="I146" s="117"/>
      <c r="J146" s="28"/>
      <c r="K146" s="28"/>
      <c r="L146" s="28"/>
      <c r="M146" s="28"/>
      <c r="N146" s="63"/>
    </row>
    <row r="147" spans="1:14" x14ac:dyDescent="0.3">
      <c r="A147" s="62"/>
      <c r="B147" s="9"/>
      <c r="C147" s="10"/>
      <c r="D147" s="113">
        <v>8.7200000000000006</v>
      </c>
      <c r="E147" s="31" t="s">
        <v>259</v>
      </c>
      <c r="F147" s="32"/>
      <c r="G147" s="32"/>
      <c r="H147" s="13"/>
      <c r="I147" s="13"/>
      <c r="J147" s="13"/>
      <c r="K147" s="13"/>
      <c r="L147" s="137">
        <f>SUM(K149:K150)</f>
        <v>42750</v>
      </c>
      <c r="M147" s="13"/>
      <c r="N147" s="63"/>
    </row>
    <row r="148" spans="1:14" ht="8.25" customHeight="1" x14ac:dyDescent="0.3">
      <c r="A148" s="62"/>
      <c r="B148" s="9"/>
      <c r="C148" s="9"/>
      <c r="D148" s="9"/>
      <c r="E148" s="10"/>
      <c r="F148" s="49"/>
      <c r="G148" s="5"/>
      <c r="H148" s="143"/>
      <c r="I148" s="37"/>
      <c r="J148" s="143"/>
      <c r="K148" s="143"/>
      <c r="L148" s="143"/>
      <c r="M148" s="143"/>
      <c r="N148" s="63"/>
    </row>
    <row r="149" spans="1:14" x14ac:dyDescent="0.3">
      <c r="A149" s="62"/>
      <c r="B149" s="9"/>
      <c r="C149" s="9"/>
      <c r="D149" s="9"/>
      <c r="E149" s="10"/>
      <c r="F149" s="134" t="s">
        <v>257</v>
      </c>
      <c r="G149" s="5"/>
      <c r="H149" s="143" t="s">
        <v>219</v>
      </c>
      <c r="I149" s="37">
        <v>95</v>
      </c>
      <c r="J149" s="135">
        <v>150</v>
      </c>
      <c r="K149" s="135">
        <f>I149*J149</f>
        <v>14250</v>
      </c>
      <c r="L149" s="143"/>
      <c r="M149" s="143"/>
      <c r="N149" s="63"/>
    </row>
    <row r="150" spans="1:14" x14ac:dyDescent="0.3">
      <c r="A150" s="62"/>
      <c r="B150" s="9"/>
      <c r="C150" s="9"/>
      <c r="D150" s="9"/>
      <c r="E150" s="10"/>
      <c r="F150" s="134" t="s">
        <v>260</v>
      </c>
      <c r="G150" s="5"/>
      <c r="H150" s="143" t="s">
        <v>219</v>
      </c>
      <c r="I150" s="37">
        <v>95</v>
      </c>
      <c r="J150" s="135">
        <v>300</v>
      </c>
      <c r="K150" s="135">
        <f>I150*J150</f>
        <v>28500</v>
      </c>
      <c r="L150" s="143"/>
      <c r="M150" s="143"/>
      <c r="N150" s="63"/>
    </row>
    <row r="151" spans="1:14" s="10" customFormat="1" ht="8.25" customHeight="1" x14ac:dyDescent="0.3">
      <c r="A151" s="62"/>
      <c r="B151" s="9"/>
      <c r="C151" s="9"/>
      <c r="D151" s="9"/>
      <c r="F151" s="77"/>
      <c r="H151" s="28"/>
      <c r="I151" s="117"/>
      <c r="J151" s="28"/>
      <c r="K151" s="28"/>
      <c r="L151" s="28"/>
      <c r="M151" s="28"/>
      <c r="N151" s="63"/>
    </row>
    <row r="152" spans="1:14" x14ac:dyDescent="0.3">
      <c r="A152" s="62"/>
      <c r="B152" s="9"/>
      <c r="C152" s="65">
        <v>8.8000000000000007</v>
      </c>
      <c r="D152" s="65" t="s">
        <v>261</v>
      </c>
      <c r="E152" s="67"/>
      <c r="F152" s="29"/>
      <c r="G152" s="29"/>
      <c r="H152" s="68"/>
      <c r="I152" s="68"/>
      <c r="J152" s="68"/>
      <c r="K152" s="68"/>
      <c r="L152" s="68"/>
      <c r="M152" s="137">
        <f>$L$154+$L$158</f>
        <v>23750</v>
      </c>
      <c r="N152" s="63"/>
    </row>
    <row r="153" spans="1:14" ht="7.5" customHeight="1" x14ac:dyDescent="0.3">
      <c r="A153" s="62"/>
      <c r="B153" s="9"/>
      <c r="C153" s="69"/>
      <c r="D153" s="9"/>
      <c r="E153" s="70"/>
      <c r="F153" s="10"/>
      <c r="G153" s="10"/>
      <c r="H153" s="28"/>
      <c r="I153" s="28"/>
      <c r="J153" s="28"/>
      <c r="K153" s="28"/>
      <c r="L153" s="28"/>
      <c r="M153" s="69"/>
      <c r="N153" s="63"/>
    </row>
    <row r="154" spans="1:14" x14ac:dyDescent="0.3">
      <c r="A154" s="62"/>
      <c r="B154" s="9"/>
      <c r="C154" s="10"/>
      <c r="D154" s="113">
        <v>8.81</v>
      </c>
      <c r="E154" s="31" t="s">
        <v>262</v>
      </c>
      <c r="F154" s="32"/>
      <c r="G154" s="32"/>
      <c r="H154" s="13"/>
      <c r="I154" s="13"/>
      <c r="J154" s="13"/>
      <c r="K154" s="13"/>
      <c r="L154" s="137">
        <f>$K$156</f>
        <v>9500</v>
      </c>
      <c r="M154" s="13"/>
      <c r="N154" s="63"/>
    </row>
    <row r="155" spans="1:14" ht="8.25" customHeight="1" x14ac:dyDescent="0.3">
      <c r="A155" s="62"/>
      <c r="B155" s="9"/>
      <c r="C155" s="9"/>
      <c r="D155" s="9"/>
      <c r="E155" s="10"/>
      <c r="F155" s="49"/>
      <c r="G155" s="5"/>
      <c r="H155" s="143"/>
      <c r="I155" s="37"/>
      <c r="J155" s="143"/>
      <c r="K155" s="143"/>
      <c r="L155" s="143"/>
      <c r="M155" s="143"/>
      <c r="N155" s="63"/>
    </row>
    <row r="156" spans="1:14" x14ac:dyDescent="0.3">
      <c r="A156" s="62"/>
      <c r="B156" s="9"/>
      <c r="C156" s="9"/>
      <c r="D156" s="9"/>
      <c r="E156" s="10"/>
      <c r="F156" s="134"/>
      <c r="G156" s="5"/>
      <c r="H156" s="143" t="s">
        <v>219</v>
      </c>
      <c r="I156" s="37">
        <v>95</v>
      </c>
      <c r="J156" s="135">
        <v>100</v>
      </c>
      <c r="K156" s="135">
        <f>I156*J156</f>
        <v>9500</v>
      </c>
      <c r="L156" s="143"/>
      <c r="M156" s="143"/>
      <c r="N156" s="63"/>
    </row>
    <row r="157" spans="1:14" ht="7.5" customHeight="1" x14ac:dyDescent="0.3">
      <c r="A157" s="62"/>
      <c r="B157" s="9"/>
      <c r="C157" s="69"/>
      <c r="D157" s="9"/>
      <c r="E157" s="70"/>
      <c r="F157" s="10"/>
      <c r="G157" s="10"/>
      <c r="H157" s="28"/>
      <c r="I157" s="28"/>
      <c r="J157" s="28"/>
      <c r="K157" s="28"/>
      <c r="L157" s="28"/>
      <c r="M157" s="69"/>
      <c r="N157" s="63"/>
    </row>
    <row r="158" spans="1:14" x14ac:dyDescent="0.3">
      <c r="A158" s="62"/>
      <c r="B158" s="9"/>
      <c r="C158" s="10"/>
      <c r="D158" s="113">
        <v>8.82</v>
      </c>
      <c r="E158" s="31" t="s">
        <v>263</v>
      </c>
      <c r="F158" s="32"/>
      <c r="G158" s="32"/>
      <c r="H158" s="13"/>
      <c r="I158" s="13"/>
      <c r="J158" s="13"/>
      <c r="K158" s="13"/>
      <c r="L158" s="137">
        <f>SUM($K$160)</f>
        <v>14250</v>
      </c>
      <c r="M158" s="13"/>
      <c r="N158" s="63"/>
    </row>
    <row r="159" spans="1:14" ht="8.25" customHeight="1" x14ac:dyDescent="0.3">
      <c r="A159" s="62"/>
      <c r="B159" s="9"/>
      <c r="C159" s="9"/>
      <c r="D159" s="9"/>
      <c r="E159" s="10"/>
      <c r="F159" s="49"/>
      <c r="G159" s="5"/>
      <c r="H159" s="143"/>
      <c r="I159" s="37"/>
      <c r="J159" s="143"/>
      <c r="K159" s="143"/>
      <c r="L159" s="143"/>
      <c r="M159" s="143"/>
      <c r="N159" s="63"/>
    </row>
    <row r="160" spans="1:14" x14ac:dyDescent="0.3">
      <c r="A160" s="62"/>
      <c r="B160" s="9"/>
      <c r="C160" s="9"/>
      <c r="D160" s="9"/>
      <c r="E160" s="10"/>
      <c r="F160" s="134" t="s">
        <v>264</v>
      </c>
      <c r="G160" s="5"/>
      <c r="H160" s="143" t="s">
        <v>219</v>
      </c>
      <c r="I160" s="37">
        <v>47.5</v>
      </c>
      <c r="J160" s="135">
        <v>300</v>
      </c>
      <c r="K160" s="135">
        <f>I160*J160</f>
        <v>14250</v>
      </c>
      <c r="L160" s="143"/>
      <c r="M160" s="143"/>
      <c r="N160" s="63"/>
    </row>
    <row r="161" spans="1:14" ht="7.5" customHeight="1" x14ac:dyDescent="0.3">
      <c r="A161" s="53"/>
      <c r="B161" s="4"/>
      <c r="C161" s="155"/>
      <c r="D161" s="4"/>
      <c r="E161" s="156"/>
      <c r="F161" s="5"/>
      <c r="G161" s="5"/>
      <c r="H161" s="143"/>
      <c r="I161" s="143"/>
      <c r="J161" s="143"/>
      <c r="K161" s="143"/>
      <c r="L161" s="143"/>
      <c r="M161" s="155"/>
      <c r="N161" s="72"/>
    </row>
  </sheetData>
  <mergeCells count="4">
    <mergeCell ref="B10:D10"/>
    <mergeCell ref="E10:G10"/>
    <mergeCell ref="B11:M11"/>
    <mergeCell ref="B13:M1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00 - Resumen</vt:lpstr>
      <vt:lpstr>01 - Terreno - Datos</vt:lpstr>
      <vt:lpstr>02 - Terreno - Costo</vt:lpstr>
      <vt:lpstr>03 - Proyecto</vt:lpstr>
      <vt:lpstr>04 - Licencias y Permisos</vt:lpstr>
      <vt:lpstr>05 - Saneamiento Inmobiliario</vt:lpstr>
      <vt:lpstr>06 - Construcción</vt:lpstr>
      <vt:lpstr>07 - Gestión del Proyecto</vt:lpstr>
      <vt:lpstr>8 - Comercialización</vt:lpstr>
      <vt:lpstr>'01 - Terreno - Datos'!Área_de_impresión</vt:lpstr>
      <vt:lpstr>'02 - Terreno - Costo'!Área_de_impresión</vt:lpstr>
    </vt:vector>
  </TitlesOfParts>
  <Company>XTe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Inversión</dc:title>
  <dc:creator>Hernando Terrazas Silva;XTe arquitectura · diseño</dc:creator>
  <cp:keywords>XTe</cp:keywords>
  <dc:description>Propiedad de XTe</dc:description>
  <cp:lastModifiedBy>Hernando Terrazas Silva</cp:lastModifiedBy>
  <dcterms:created xsi:type="dcterms:W3CDTF">2013-02-05T09:59:31Z</dcterms:created>
  <dcterms:modified xsi:type="dcterms:W3CDTF">2013-02-08T13:28:53Z</dcterms:modified>
  <cp:category>Plantilllas</cp:category>
  <cp:contentStatus>revisión</cp:contentStatus>
</cp:coreProperties>
</file>